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ISTRITOS SECTORIZACIÓN\Distrito 1 y 2\"/>
    </mc:Choice>
  </mc:AlternateContent>
  <bookViews>
    <workbookView xWindow="0" yWindow="0" windowWidth="23040" windowHeight="9192" tabRatio="929" firstSheet="272" activeTab="277"/>
  </bookViews>
  <sheets>
    <sheet name="ITEMS" sheetId="24" r:id="rId1"/>
    <sheet name="SALARIOS" sheetId="22" r:id="rId2"/>
    <sheet name="EQUIPOS " sheetId="38" r:id="rId3"/>
    <sheet name="MATERIALES" sheetId="31" r:id="rId4"/>
    <sheet name="Insumo Concreto - Morteros" sheetId="415" r:id="rId5"/>
    <sheet name="1,1" sheetId="35" r:id="rId6"/>
    <sheet name="1,2" sheetId="36" r:id="rId7"/>
    <sheet name="1,3" sheetId="37" r:id="rId8"/>
    <sheet name="1,4" sheetId="405" r:id="rId9"/>
    <sheet name="1,5" sheetId="406" r:id="rId10"/>
    <sheet name="1,6" sheetId="40" r:id="rId11"/>
    <sheet name="1,7" sheetId="41" r:id="rId12"/>
    <sheet name="1,8" sheetId="47" r:id="rId13"/>
    <sheet name="1,9" sheetId="48" r:id="rId14"/>
    <sheet name="1,10" sheetId="44" r:id="rId15"/>
    <sheet name="1,11" sheetId="46" r:id="rId16"/>
    <sheet name="1,12" sheetId="49" r:id="rId17"/>
    <sheet name="1,13" sheetId="50" r:id="rId18"/>
    <sheet name="2,1" sheetId="51" r:id="rId19"/>
    <sheet name="2,2" sheetId="52" r:id="rId20"/>
    <sheet name="2,3" sheetId="53" r:id="rId21"/>
    <sheet name="2,4" sheetId="55" r:id="rId22"/>
    <sheet name="2,5" sheetId="56" r:id="rId23"/>
    <sheet name="3,1" sheetId="57" r:id="rId24"/>
    <sheet name="3,2" sheetId="58" r:id="rId25"/>
    <sheet name="3,3" sheetId="59" r:id="rId26"/>
    <sheet name="3,4" sheetId="62" r:id="rId27"/>
    <sheet name="3,5" sheetId="63" r:id="rId28"/>
    <sheet name="3,6" sheetId="64" r:id="rId29"/>
    <sheet name="3,7" sheetId="65" r:id="rId30"/>
    <sheet name="3,8" sheetId="66" r:id="rId31"/>
    <sheet name="3,9" sheetId="67" r:id="rId32"/>
    <sheet name="3,10" sheetId="69" r:id="rId33"/>
    <sheet name="3,11" sheetId="70" r:id="rId34"/>
    <sheet name="3,12" sheetId="71" r:id="rId35"/>
    <sheet name="3,13" sheetId="72" r:id="rId36"/>
    <sheet name="3,14" sheetId="73" r:id="rId37"/>
    <sheet name="3,15" sheetId="74" r:id="rId38"/>
    <sheet name="4,1" sheetId="75" r:id="rId39"/>
    <sheet name="4,2" sheetId="76" r:id="rId40"/>
    <sheet name="4,3" sheetId="77" r:id="rId41"/>
    <sheet name="4,4" sheetId="78" r:id="rId42"/>
    <sheet name="4,5" sheetId="79" r:id="rId43"/>
    <sheet name="4,6" sheetId="80" r:id="rId44"/>
    <sheet name="4,7" sheetId="81" r:id="rId45"/>
    <sheet name="4,8" sheetId="82" r:id="rId46"/>
    <sheet name="4,9" sheetId="83" r:id="rId47"/>
    <sheet name="4,10" sheetId="84" r:id="rId48"/>
    <sheet name="4,11" sheetId="85" r:id="rId49"/>
    <sheet name="4,12" sheetId="86" r:id="rId50"/>
    <sheet name="5,1" sheetId="87" r:id="rId51"/>
    <sheet name="5,2" sheetId="403" r:id="rId52"/>
    <sheet name="5,3" sheetId="88" r:id="rId53"/>
    <sheet name="5,4" sheetId="89" r:id="rId54"/>
    <sheet name="5,5" sheetId="404" r:id="rId55"/>
    <sheet name="5,6" sheetId="92" r:id="rId56"/>
    <sheet name="5,7" sheetId="94" r:id="rId57"/>
    <sheet name="5,8" sheetId="95" r:id="rId58"/>
    <sheet name="5,9" sheetId="401" r:id="rId59"/>
    <sheet name="5,10" sheetId="96" r:id="rId60"/>
    <sheet name="5,11" sheetId="402" r:id="rId61"/>
    <sheet name="5,12" sheetId="97" r:id="rId62"/>
    <sheet name="5,13" sheetId="98" r:id="rId63"/>
    <sheet name="5,14" sheetId="99" r:id="rId64"/>
    <sheet name="5,15" sheetId="398" r:id="rId65"/>
    <sheet name="5,16" sheetId="397" r:id="rId66"/>
    <sheet name="6,1" sheetId="100" r:id="rId67"/>
    <sheet name="6,2" sheetId="101" r:id="rId68"/>
    <sheet name="6,3" sheetId="102" r:id="rId69"/>
    <sheet name="6,4" sheetId="103" r:id="rId70"/>
    <sheet name="6,5" sheetId="104" r:id="rId71"/>
    <sheet name="6,6" sheetId="105" r:id="rId72"/>
    <sheet name="6,7" sheetId="106" r:id="rId73"/>
    <sheet name="6,8" sheetId="107" r:id="rId74"/>
    <sheet name="6,9" sheetId="108" r:id="rId75"/>
    <sheet name="6,10" sheetId="109" r:id="rId76"/>
    <sheet name="6,11" sheetId="111" r:id="rId77"/>
    <sheet name="6,12" sheetId="112" r:id="rId78"/>
    <sheet name="6,13" sheetId="113" r:id="rId79"/>
    <sheet name="6,14" sheetId="114" r:id="rId80"/>
    <sheet name="6,15" sheetId="115" r:id="rId81"/>
    <sheet name="6,16" sheetId="116" r:id="rId82"/>
    <sheet name="6,17" sheetId="117" r:id="rId83"/>
    <sheet name="6,18" sheetId="118" r:id="rId84"/>
    <sheet name="6,19" sheetId="119" r:id="rId85"/>
    <sheet name="6,20" sheetId="120" r:id="rId86"/>
    <sheet name="6,21" sheetId="121" r:id="rId87"/>
    <sheet name="6,22" sheetId="122" r:id="rId88"/>
    <sheet name="7,1" sheetId="123" r:id="rId89"/>
    <sheet name="7,2" sheetId="124" r:id="rId90"/>
    <sheet name="7,3" sheetId="125" r:id="rId91"/>
    <sheet name="8,1,1" sheetId="126" r:id="rId92"/>
    <sheet name="8,1,2" sheetId="127" r:id="rId93"/>
    <sheet name="8,1,3" sheetId="128" r:id="rId94"/>
    <sheet name="8,1,4" sheetId="129" r:id="rId95"/>
    <sheet name="8,1,5" sheetId="130" r:id="rId96"/>
    <sheet name="8,1,6" sheetId="131" r:id="rId97"/>
    <sheet name="8,1,7" sheetId="132" r:id="rId98"/>
    <sheet name="8,1,8" sheetId="133" r:id="rId99"/>
    <sheet name="8,1,9" sheetId="134" r:id="rId100"/>
    <sheet name="8,2,1" sheetId="135" r:id="rId101"/>
    <sheet name="8,2,2" sheetId="136" r:id="rId102"/>
    <sheet name="8,2,3" sheetId="137" r:id="rId103"/>
    <sheet name="8,2,4" sheetId="138" r:id="rId104"/>
    <sheet name="8,2,5" sheetId="139" r:id="rId105"/>
    <sheet name="8,2,6" sheetId="140" r:id="rId106"/>
    <sheet name="8,2,7" sheetId="141" r:id="rId107"/>
    <sheet name="8,2,8" sheetId="142" r:id="rId108"/>
    <sheet name="8,2,9" sheetId="143" r:id="rId109"/>
    <sheet name="9,1,1" sheetId="144" r:id="rId110"/>
    <sheet name="9,1,2" sheetId="145" r:id="rId111"/>
    <sheet name="9,1,3" sheetId="146" r:id="rId112"/>
    <sheet name="9,1,4" sheetId="147" r:id="rId113"/>
    <sheet name="9,1,5" sheetId="148" r:id="rId114"/>
    <sheet name="9,1,6" sheetId="149" r:id="rId115"/>
    <sheet name="9,1,7" sheetId="150" r:id="rId116"/>
    <sheet name="9,1,8" sheetId="151" r:id="rId117"/>
    <sheet name="9,1,9" sheetId="152" r:id="rId118"/>
    <sheet name="10,1,1" sheetId="153" r:id="rId119"/>
    <sheet name="10,1,2" sheetId="154" r:id="rId120"/>
    <sheet name="10,1,3" sheetId="155" r:id="rId121"/>
    <sheet name="10,1,4" sheetId="156" r:id="rId122"/>
    <sheet name="10,1,5" sheetId="157" r:id="rId123"/>
    <sheet name="10,1,6" sheetId="158" r:id="rId124"/>
    <sheet name="10,1,7" sheetId="159" r:id="rId125"/>
    <sheet name="10,1,8" sheetId="160" r:id="rId126"/>
    <sheet name="10,1,9" sheetId="161" r:id="rId127"/>
    <sheet name="11,1,1" sheetId="162" r:id="rId128"/>
    <sheet name="11,1,2" sheetId="163" r:id="rId129"/>
    <sheet name="11,1,3" sheetId="164" r:id="rId130"/>
    <sheet name="11,1,4" sheetId="165" r:id="rId131"/>
    <sheet name="11,1,5" sheetId="166" r:id="rId132"/>
    <sheet name="11,1,6" sheetId="167" r:id="rId133"/>
    <sheet name="11,1,7" sheetId="168" r:id="rId134"/>
    <sheet name="11,2,1" sheetId="169" r:id="rId135"/>
    <sheet name="11,2,2" sheetId="170" r:id="rId136"/>
    <sheet name="11,2,3" sheetId="171" r:id="rId137"/>
    <sheet name="11,2,4" sheetId="172" r:id="rId138"/>
    <sheet name="11,2,5" sheetId="173" r:id="rId139"/>
    <sheet name="11,2,6" sheetId="174" r:id="rId140"/>
    <sheet name="11,2,7" sheetId="175" r:id="rId141"/>
    <sheet name="12,1,1" sheetId="176" r:id="rId142"/>
    <sheet name="12,1,2" sheetId="177" r:id="rId143"/>
    <sheet name="12,1,3" sheetId="178" r:id="rId144"/>
    <sheet name="12,1,4" sheetId="179" r:id="rId145"/>
    <sheet name="12,1,5" sheetId="180" r:id="rId146"/>
    <sheet name="12,1,6" sheetId="181" r:id="rId147"/>
    <sheet name="12,1,7" sheetId="182" r:id="rId148"/>
    <sheet name="12,2,1" sheetId="183" r:id="rId149"/>
    <sheet name="12,2,2" sheetId="184" r:id="rId150"/>
    <sheet name="12,2,3" sheetId="185" r:id="rId151"/>
    <sheet name="12,2,4" sheetId="186" r:id="rId152"/>
    <sheet name="12,2,5" sheetId="187" r:id="rId153"/>
    <sheet name="12,2,6" sheetId="188" r:id="rId154"/>
    <sheet name="12,2,7" sheetId="189" r:id="rId155"/>
    <sheet name="13,1,1" sheetId="190" r:id="rId156"/>
    <sheet name="13,1,2" sheetId="191" r:id="rId157"/>
    <sheet name="13,1,3" sheetId="192" r:id="rId158"/>
    <sheet name="13,1,4" sheetId="193" r:id="rId159"/>
    <sheet name="13,1,5" sheetId="407" r:id="rId160"/>
    <sheet name="13,1,6" sheetId="194" r:id="rId161"/>
    <sheet name="13,1,7" sheetId="195" r:id="rId162"/>
    <sheet name="13,1,8" sheetId="196" r:id="rId163"/>
    <sheet name="13,1,9" sheetId="197" r:id="rId164"/>
    <sheet name="13,1,10" sheetId="198" r:id="rId165"/>
    <sheet name="13,1,11" sheetId="199" r:id="rId166"/>
    <sheet name="13,1,12" sheetId="200" r:id="rId167"/>
    <sheet name="13,1,13" sheetId="201" r:id="rId168"/>
    <sheet name="14,1,1" sheetId="202" r:id="rId169"/>
    <sheet name="14,1,2" sheetId="203" r:id="rId170"/>
    <sheet name="14,1,3" sheetId="204" r:id="rId171"/>
    <sheet name="14,1,4" sheetId="408" r:id="rId172"/>
    <sheet name="14,1,5" sheetId="205" r:id="rId173"/>
    <sheet name="14,1,6" sheetId="206" r:id="rId174"/>
    <sheet name="14,1,7" sheetId="207" r:id="rId175"/>
    <sheet name="14,1,8" sheetId="208" r:id="rId176"/>
    <sheet name="14,1,9" sheetId="209" r:id="rId177"/>
    <sheet name="14,1,10" sheetId="210" r:id="rId178"/>
    <sheet name="14,1,11" sheetId="211" r:id="rId179"/>
    <sheet name="14,1,12" sheetId="212" r:id="rId180"/>
    <sheet name="15,1,1" sheetId="213" r:id="rId181"/>
    <sheet name="15,1,2" sheetId="214" r:id="rId182"/>
    <sheet name="15,1,3" sheetId="215" r:id="rId183"/>
    <sheet name="15,1,4" sheetId="216" r:id="rId184"/>
    <sheet name="15,1,5" sheetId="410" r:id="rId185"/>
    <sheet name="15,1,6" sheetId="217" r:id="rId186"/>
    <sheet name="15,1,7" sheetId="218" r:id="rId187"/>
    <sheet name="15,1,8" sheetId="219" r:id="rId188"/>
    <sheet name="16,1,1" sheetId="220" r:id="rId189"/>
    <sheet name="16,1,2" sheetId="221" r:id="rId190"/>
    <sheet name="16,1,3" sheetId="222" r:id="rId191"/>
    <sheet name="16,1,4" sheetId="409" r:id="rId192"/>
    <sheet name="16,1,5" sheetId="223" r:id="rId193"/>
    <sheet name="16,1,6" sheetId="224" r:id="rId194"/>
    <sheet name="16,1,7" sheetId="225" r:id="rId195"/>
    <sheet name="17,1,1" sheetId="226" r:id="rId196"/>
    <sheet name="17,1,2" sheetId="228" r:id="rId197"/>
    <sheet name="17,1,3" sheetId="227" r:id="rId198"/>
    <sheet name="17,1,4" sheetId="229" r:id="rId199"/>
    <sheet name="17,1,5" sheetId="230" r:id="rId200"/>
    <sheet name="17,1,6" sheetId="231" r:id="rId201"/>
    <sheet name="17,1,7" sheetId="232" r:id="rId202"/>
    <sheet name="18,1,1" sheetId="235" r:id="rId203"/>
    <sheet name="18,1,2" sheetId="236" r:id="rId204"/>
    <sheet name="18,1,3" sheetId="237" r:id="rId205"/>
    <sheet name="18,1,4" sheetId="238" r:id="rId206"/>
    <sheet name="18,1,5" sheetId="239" r:id="rId207"/>
    <sheet name="18,1,6" sheetId="240" r:id="rId208"/>
    <sheet name="18,1,7" sheetId="241" r:id="rId209"/>
    <sheet name="19,1,1" sheetId="244" r:id="rId210"/>
    <sheet name="19,1,2" sheetId="245" r:id="rId211"/>
    <sheet name="19,1,3" sheetId="246" r:id="rId212"/>
    <sheet name="19,1,4" sheetId="247" r:id="rId213"/>
    <sheet name="19,1,5" sheetId="248" r:id="rId214"/>
    <sheet name="19,1,6" sheetId="249" r:id="rId215"/>
    <sheet name="19,1,7" sheetId="250" r:id="rId216"/>
    <sheet name="19,1,8" sheetId="251" r:id="rId217"/>
    <sheet name="19,1,9" sheetId="252" r:id="rId218"/>
    <sheet name="19,1,10" sheetId="253" r:id="rId219"/>
    <sheet name="19,1,11" sheetId="254" r:id="rId220"/>
    <sheet name="19,1,12" sheetId="255" r:id="rId221"/>
    <sheet name="19,1,13" sheetId="256" r:id="rId222"/>
    <sheet name="19,1,14" sheetId="257" r:id="rId223"/>
    <sheet name="19,1,15" sheetId="258" r:id="rId224"/>
    <sheet name="19,2,1" sheetId="259" r:id="rId225"/>
    <sheet name="19,2,2" sheetId="260" r:id="rId226"/>
    <sheet name="19,2,3" sheetId="261" r:id="rId227"/>
    <sheet name="19,2,4" sheetId="262" r:id="rId228"/>
    <sheet name="20,1" sheetId="264" r:id="rId229"/>
    <sheet name="20,2" sheetId="440" r:id="rId230"/>
    <sheet name="20,3" sheetId="441" r:id="rId231"/>
    <sheet name="20,4" sheetId="266" r:id="rId232"/>
    <sheet name="20,5" sheetId="267" r:id="rId233"/>
    <sheet name="20,6" sheetId="268" r:id="rId234"/>
    <sheet name="20,7" sheetId="269" r:id="rId235"/>
    <sheet name="20,8" sheetId="270" r:id="rId236"/>
    <sheet name="20,9" sheetId="271" r:id="rId237"/>
    <sheet name="20,10" sheetId="272" r:id="rId238"/>
    <sheet name="20,11" sheetId="273" r:id="rId239"/>
    <sheet name="20,12" sheetId="274" r:id="rId240"/>
    <sheet name="20,13" sheetId="275" r:id="rId241"/>
    <sheet name="20,14" sheetId="276" r:id="rId242"/>
    <sheet name="20,15" sheetId="277" r:id="rId243"/>
    <sheet name="20,16" sheetId="278" r:id="rId244"/>
    <sheet name="20,17" sheetId="279" r:id="rId245"/>
    <sheet name="20,18" sheetId="280" r:id="rId246"/>
    <sheet name="20,19" sheetId="281" r:id="rId247"/>
    <sheet name="20,20" sheetId="282" r:id="rId248"/>
    <sheet name="20,21" sheetId="283" r:id="rId249"/>
    <sheet name="20,22" sheetId="284" r:id="rId250"/>
    <sheet name="20,23" sheetId="285" r:id="rId251"/>
    <sheet name="20,24" sheetId="286" r:id="rId252"/>
    <sheet name="20,25" sheetId="287" r:id="rId253"/>
    <sheet name="20,26" sheetId="288" r:id="rId254"/>
    <sheet name="20,27" sheetId="289" r:id="rId255"/>
    <sheet name="20,28" sheetId="290" r:id="rId256"/>
    <sheet name="20,29" sheetId="291" r:id="rId257"/>
    <sheet name="20,30" sheetId="292" r:id="rId258"/>
    <sheet name="20,31" sheetId="432" r:id="rId259"/>
    <sheet name="20,32" sheetId="433" r:id="rId260"/>
    <sheet name="20,33" sheetId="435" r:id="rId261"/>
    <sheet name="20,34" sheetId="434" r:id="rId262"/>
    <sheet name="20,35" sheetId="436" r:id="rId263"/>
    <sheet name="20,36" sheetId="437" r:id="rId264"/>
    <sheet name="20,37" sheetId="438" r:id="rId265"/>
    <sheet name="20,38" sheetId="293" r:id="rId266"/>
    <sheet name="20,39" sheetId="294" r:id="rId267"/>
    <sheet name="20,40" sheetId="295" r:id="rId268"/>
    <sheet name="20,41" sheetId="296" r:id="rId269"/>
    <sheet name="20,42" sheetId="298" r:id="rId270"/>
    <sheet name="20,43" sheetId="299" r:id="rId271"/>
    <sheet name="20,44" sheetId="300" r:id="rId272"/>
    <sheet name="20,45" sheetId="301" r:id="rId273"/>
    <sheet name="20,46" sheetId="302" r:id="rId274"/>
    <sheet name="20,47" sheetId="411" r:id="rId275"/>
    <sheet name="20,48" sheetId="413" r:id="rId276"/>
    <sheet name="20,49" sheetId="414" r:id="rId277"/>
    <sheet name="20,50" sheetId="412" r:id="rId278"/>
    <sheet name="20,51" sheetId="454" r:id="rId279"/>
    <sheet name="20,52" sheetId="455" r:id="rId280"/>
    <sheet name="20,53" sheetId="456" r:id="rId281"/>
    <sheet name="20,54" sheetId="457" r:id="rId282"/>
    <sheet name="21,1" sheetId="303" r:id="rId283"/>
    <sheet name="21,2" sheetId="304" r:id="rId284"/>
    <sheet name="21,3" sheetId="305" r:id="rId285"/>
    <sheet name="21,4" sheetId="306" r:id="rId286"/>
    <sheet name="21,5" sheetId="307" r:id="rId287"/>
    <sheet name="21,6" sheetId="308" r:id="rId288"/>
    <sheet name="22,1" sheetId="399" r:id="rId289"/>
    <sheet name="22,2" sheetId="320" r:id="rId290"/>
    <sheet name="22,3" sheetId="321" r:id="rId291"/>
    <sheet name="22,4" sheetId="322" r:id="rId292"/>
    <sheet name="22,5" sheetId="324" r:id="rId293"/>
    <sheet name="22,6" sheetId="325" r:id="rId294"/>
    <sheet name="22,7" sheetId="326" r:id="rId295"/>
    <sheet name="22,8" sheetId="327" r:id="rId296"/>
    <sheet name="22,9" sheetId="328" r:id="rId297"/>
    <sheet name="22,10" sheetId="329" r:id="rId298"/>
    <sheet name="22,11" sheetId="442" r:id="rId299"/>
    <sheet name="22,12" sheetId="443" r:id="rId300"/>
    <sheet name="22,13" sheetId="444" r:id="rId301"/>
    <sheet name="22,14" sheetId="445" r:id="rId302"/>
    <sheet name="22,15" sheetId="446" r:id="rId303"/>
    <sheet name="22,16" sheetId="447" r:id="rId304"/>
    <sheet name="22,17" sheetId="330" r:id="rId305"/>
    <sheet name="22,18" sheetId="331" r:id="rId306"/>
    <sheet name="22,19" sheetId="418" r:id="rId307"/>
    <sheet name="22,20" sheetId="419" r:id="rId308"/>
    <sheet name="22,21" sheetId="420" r:id="rId309"/>
    <sheet name="22,22" sheetId="421" r:id="rId310"/>
    <sheet name="22,23" sheetId="422" r:id="rId311"/>
    <sheet name="22,24" sheetId="423" r:id="rId312"/>
    <sheet name="22,25" sheetId="424" r:id="rId313"/>
    <sheet name="22,26" sheetId="332" r:id="rId314"/>
    <sheet name="22,27" sheetId="333" r:id="rId315"/>
    <sheet name="22,28" sheetId="334" r:id="rId316"/>
    <sheet name="22,29" sheetId="335" r:id="rId317"/>
    <sheet name="22,30" sheetId="336" r:id="rId318"/>
    <sheet name="22,31" sheetId="337" r:id="rId319"/>
    <sheet name="22,32" sheetId="338" r:id="rId320"/>
    <sheet name="22,33" sheetId="339" r:id="rId321"/>
    <sheet name="22,34" sheetId="340" r:id="rId322"/>
    <sheet name="22,35" sheetId="341" r:id="rId323"/>
    <sheet name="22,36" sheetId="342" r:id="rId324"/>
    <sheet name="22,37" sheetId="343" r:id="rId325"/>
    <sheet name="22,38" sheetId="344" r:id="rId326"/>
    <sheet name="22,39" sheetId="345" r:id="rId327"/>
    <sheet name="22,40" sheetId="448" r:id="rId328"/>
    <sheet name="22,41" sheetId="449" r:id="rId329"/>
    <sheet name="22,42" sheetId="450" r:id="rId330"/>
    <sheet name="22,43" sheetId="451" r:id="rId331"/>
    <sheet name="22,44" sheetId="452" r:id="rId332"/>
    <sheet name="22,45" sheetId="453" r:id="rId333"/>
    <sheet name="22,46" sheetId="346" r:id="rId334"/>
    <sheet name="22,47" sheetId="347" r:id="rId335"/>
    <sheet name="22,48" sheetId="348" r:id="rId336"/>
    <sheet name="22,49" sheetId="349" r:id="rId337"/>
    <sheet name="22,50" sheetId="350" r:id="rId338"/>
    <sheet name="22,51" sheetId="351" r:id="rId339"/>
    <sheet name="23,1,1" sheetId="352" r:id="rId340"/>
    <sheet name="23,1,2" sheetId="353" r:id="rId341"/>
    <sheet name="23,1,3" sheetId="354" r:id="rId342"/>
    <sheet name="23,1,4" sheetId="355" r:id="rId343"/>
    <sheet name="23,1,5" sheetId="356" r:id="rId344"/>
    <sheet name="23,1,6" sheetId="357" r:id="rId345"/>
    <sheet name="23,1,7" sheetId="358" r:id="rId346"/>
    <sheet name="23,1,8" sheetId="359" r:id="rId347"/>
    <sheet name="23,1,9" sheetId="360" r:id="rId348"/>
    <sheet name="23,1,10" sheetId="361" r:id="rId349"/>
    <sheet name="23,1,11" sheetId="362" r:id="rId350"/>
    <sheet name="24,1,1" sheetId="374" r:id="rId351"/>
    <sheet name="24,1,2" sheetId="375" r:id="rId352"/>
    <sheet name="24,1,3" sheetId="376" r:id="rId353"/>
    <sheet name="24,1,4" sheetId="377" r:id="rId354"/>
    <sheet name="24,1,5" sheetId="378" r:id="rId355"/>
    <sheet name="24,1,6" sheetId="379" r:id="rId356"/>
    <sheet name="24,1,7" sheetId="380" r:id="rId357"/>
    <sheet name="24,1,8" sheetId="381" r:id="rId358"/>
    <sheet name="24,1,9" sheetId="382" r:id="rId359"/>
    <sheet name="24,1,10" sheetId="383" r:id="rId360"/>
    <sheet name="24,1,11" sheetId="384" r:id="rId361"/>
  </sheets>
  <externalReferences>
    <externalReference r:id="rId362"/>
  </externalReferences>
  <definedNames>
    <definedName name="_Fill" localSheetId="0" hidden="1">#REF!</definedName>
    <definedName name="_Fill" hidden="1">#REF!</definedName>
    <definedName name="_xlnm._FilterDatabase" localSheetId="2" hidden="1">'EQUIPOS '!$A$1:$G$19</definedName>
    <definedName name="_xlnm._FilterDatabase" localSheetId="3" hidden="1">MATERIALES!$B$1:$H$1</definedName>
    <definedName name="_xlnm.Print_Area" localSheetId="0">ITEMS!$B$1:$E$418</definedName>
    <definedName name="PRINT_AREA">#N/A</definedName>
    <definedName name="PRINT_AREA_MI">#N/A</definedName>
    <definedName name="PRINT_TITLES">#N/A</definedName>
    <definedName name="PRINT_TITLES_MI">#N/A</definedName>
    <definedName name="_xlnm.Print_Titles" localSheetId="0">ITEMS!$1:$7</definedName>
    <definedName name="_xlnm.Print_Titles" localSheetId="3">MATERIALES!$1:$1</definedName>
  </definedNames>
  <calcPr calcId="162913"/>
</workbook>
</file>

<file path=xl/calcChain.xml><?xml version="1.0" encoding="utf-8"?>
<calcChain xmlns="http://schemas.openxmlformats.org/spreadsheetml/2006/main">
  <c r="G34" i="106" l="1"/>
  <c r="G35" i="106"/>
  <c r="G13" i="44"/>
  <c r="H15" i="44"/>
  <c r="C34" i="264" l="1"/>
  <c r="K34" i="35" l="1"/>
  <c r="J36" i="46" l="1"/>
  <c r="E49" i="31" l="1"/>
  <c r="E50" i="31"/>
  <c r="E63" i="31"/>
  <c r="E62" i="31"/>
  <c r="E61" i="31"/>
  <c r="E60" i="31"/>
  <c r="E59" i="31"/>
  <c r="E58" i="31"/>
  <c r="E57" i="31"/>
  <c r="E56" i="31"/>
  <c r="E53" i="31"/>
  <c r="E52" i="31"/>
  <c r="E42" i="31"/>
  <c r="E41" i="31"/>
  <c r="E40" i="31"/>
  <c r="F35" i="31"/>
  <c r="E35" i="31" s="1"/>
  <c r="E33" i="31"/>
  <c r="E31" i="31"/>
  <c r="E30" i="31"/>
  <c r="E29" i="31"/>
  <c r="E28" i="31"/>
  <c r="E26" i="31"/>
  <c r="E25" i="31"/>
  <c r="E24" i="31"/>
  <c r="E23" i="31"/>
  <c r="E22" i="31"/>
  <c r="E21" i="31"/>
  <c r="E20" i="31"/>
  <c r="E18" i="31"/>
  <c r="E17" i="31"/>
  <c r="E16" i="31"/>
  <c r="E14" i="31"/>
  <c r="E13" i="31"/>
  <c r="E8" i="31"/>
  <c r="E7" i="31"/>
  <c r="E5" i="31"/>
  <c r="E4" i="31"/>
  <c r="E3" i="31"/>
  <c r="E2" i="31"/>
  <c r="H55" i="31" l="1"/>
  <c r="G55" i="31"/>
  <c r="F51" i="31"/>
  <c r="E51" i="31" s="1"/>
  <c r="E21" i="455"/>
  <c r="G48" i="31"/>
  <c r="E48" i="31" s="1"/>
  <c r="E55" i="31" l="1"/>
  <c r="G25" i="457"/>
  <c r="G23" i="457" l="1"/>
  <c r="E22" i="457" l="1"/>
  <c r="G22" i="457" s="1"/>
  <c r="E21" i="457"/>
  <c r="E22" i="456"/>
  <c r="G22" i="456" s="1"/>
  <c r="E21" i="456" l="1"/>
  <c r="F12" i="31"/>
  <c r="E12" i="31" s="1"/>
  <c r="F19" i="31"/>
  <c r="G19" i="31"/>
  <c r="E23" i="454"/>
  <c r="G23" i="454" s="1"/>
  <c r="F47" i="31"/>
  <c r="E47" i="31" s="1"/>
  <c r="E24" i="454" l="1"/>
  <c r="G24" i="454" s="1"/>
  <c r="E19" i="31"/>
  <c r="F46" i="457"/>
  <c r="F45" i="457"/>
  <c r="F44" i="457"/>
  <c r="G21" i="457"/>
  <c r="F45" i="456"/>
  <c r="F44" i="456"/>
  <c r="F43" i="456"/>
  <c r="G21" i="456"/>
  <c r="F45" i="455"/>
  <c r="F44" i="455"/>
  <c r="F43" i="455"/>
  <c r="G21" i="455"/>
  <c r="H25" i="455" s="1"/>
  <c r="G28" i="455" s="1"/>
  <c r="H31" i="455" s="1"/>
  <c r="F45" i="454"/>
  <c r="F44" i="454"/>
  <c r="F43" i="454"/>
  <c r="E22" i="454"/>
  <c r="G22" i="454" s="1"/>
  <c r="H25" i="456" l="1"/>
  <c r="F43" i="437"/>
  <c r="F42" i="437"/>
  <c r="F41" i="437"/>
  <c r="F40" i="437"/>
  <c r="F39" i="437"/>
  <c r="F38" i="437"/>
  <c r="F37" i="437"/>
  <c r="G28" i="456" l="1"/>
  <c r="H31" i="456" s="1"/>
  <c r="E98" i="31"/>
  <c r="G101" i="31"/>
  <c r="G100" i="31"/>
  <c r="G99" i="31"/>
  <c r="G98" i="31"/>
  <c r="G97" i="31"/>
  <c r="E97" i="31" s="1"/>
  <c r="G96" i="31"/>
  <c r="E96" i="31" s="1"/>
  <c r="E175" i="31"/>
  <c r="E18" i="38"/>
  <c r="D18" i="38" s="1"/>
  <c r="E66" i="31" l="1"/>
  <c r="E67" i="31"/>
  <c r="F32" i="31"/>
  <c r="E32" i="31" s="1"/>
  <c r="E21" i="454" s="1"/>
  <c r="G21" i="454" s="1"/>
  <c r="H25" i="454" s="1"/>
  <c r="G28" i="454" s="1"/>
  <c r="H31" i="454" s="1"/>
  <c r="E23" i="109" l="1"/>
  <c r="D3" i="38"/>
  <c r="E13" i="103" s="1"/>
  <c r="G13" i="103" s="1"/>
  <c r="F34" i="31" l="1"/>
  <c r="E34" i="31" s="1"/>
  <c r="F44" i="31"/>
  <c r="E44" i="31" s="1"/>
  <c r="E22" i="108" l="1"/>
  <c r="F82" i="31"/>
  <c r="F81" i="31"/>
  <c r="F80" i="31"/>
  <c r="F79" i="31"/>
  <c r="F78" i="31"/>
  <c r="F77" i="31"/>
  <c r="F76" i="31"/>
  <c r="F75" i="31"/>
  <c r="F74" i="31"/>
  <c r="E21" i="111" l="1"/>
  <c r="E22" i="109"/>
  <c r="E21" i="104"/>
  <c r="E23" i="254" l="1"/>
  <c r="G23" i="254" s="1"/>
  <c r="H161" i="31" l="1"/>
  <c r="H160" i="31"/>
  <c r="H159" i="31"/>
  <c r="H158" i="31"/>
  <c r="G158" i="31"/>
  <c r="G159" i="31"/>
  <c r="G160" i="31"/>
  <c r="G161" i="31"/>
  <c r="F161" i="31"/>
  <c r="F160" i="31"/>
  <c r="F159" i="31"/>
  <c r="F158" i="31"/>
  <c r="E161" i="31" l="1"/>
  <c r="E26" i="254" s="1"/>
  <c r="G26" i="254" s="1"/>
  <c r="E158" i="31"/>
  <c r="E159" i="31"/>
  <c r="E160" i="31"/>
  <c r="E26" i="253" s="1"/>
  <c r="C28" i="397"/>
  <c r="C28" i="398"/>
  <c r="G132" i="31" l="1"/>
  <c r="E132" i="31" s="1"/>
  <c r="G131" i="31"/>
  <c r="E131" i="31" s="1"/>
  <c r="G130" i="31"/>
  <c r="E130" i="31" s="1"/>
  <c r="G129" i="31"/>
  <c r="E129" i="31" s="1"/>
  <c r="G128" i="31"/>
  <c r="E128" i="31" s="1"/>
  <c r="G127" i="31"/>
  <c r="E127" i="31" s="1"/>
  <c r="G126" i="31"/>
  <c r="G125" i="31"/>
  <c r="G124" i="31"/>
  <c r="G123" i="31"/>
  <c r="G122" i="31"/>
  <c r="G121" i="31"/>
  <c r="G120" i="31"/>
  <c r="G119" i="31"/>
  <c r="G118" i="31"/>
  <c r="G116" i="31"/>
  <c r="G107" i="31"/>
  <c r="G106" i="31"/>
  <c r="G105" i="31"/>
  <c r="G104" i="31"/>
  <c r="G103" i="31"/>
  <c r="G102" i="31"/>
  <c r="E101" i="31"/>
  <c r="E100" i="31"/>
  <c r="E99" i="31"/>
  <c r="H84" i="31"/>
  <c r="G84" i="31"/>
  <c r="F84" i="31"/>
  <c r="H83" i="31"/>
  <c r="G83" i="31"/>
  <c r="F83" i="31"/>
  <c r="G82" i="31"/>
  <c r="E82" i="31" s="1"/>
  <c r="G81" i="31"/>
  <c r="E81" i="31" s="1"/>
  <c r="G80" i="31"/>
  <c r="E80" i="31" s="1"/>
  <c r="G79" i="31"/>
  <c r="E79" i="31" s="1"/>
  <c r="G78" i="31"/>
  <c r="E78" i="31" s="1"/>
  <c r="G77" i="31"/>
  <c r="E77" i="31" s="1"/>
  <c r="G76" i="31"/>
  <c r="E76" i="31" s="1"/>
  <c r="G75" i="31"/>
  <c r="E75" i="31" s="1"/>
  <c r="G74" i="31"/>
  <c r="E74" i="31" s="1"/>
  <c r="E104" i="31" l="1"/>
  <c r="E20" i="444" s="1"/>
  <c r="G20" i="444" s="1"/>
  <c r="E103" i="31"/>
  <c r="E20" i="443" s="1"/>
  <c r="G20" i="443" s="1"/>
  <c r="E105" i="31"/>
  <c r="E20" i="445" s="1"/>
  <c r="G20" i="445" s="1"/>
  <c r="E102" i="31"/>
  <c r="E20" i="442" s="1"/>
  <c r="G20" i="442" s="1"/>
  <c r="E106" i="31"/>
  <c r="E21" i="446" s="1"/>
  <c r="G21" i="446" s="1"/>
  <c r="H25" i="446" s="1"/>
  <c r="E107" i="31"/>
  <c r="E21" i="447" s="1"/>
  <c r="G21" i="447" s="1"/>
  <c r="H25" i="447" s="1"/>
  <c r="E84" i="31"/>
  <c r="E83" i="31"/>
  <c r="F45" i="453"/>
  <c r="F44" i="453"/>
  <c r="F43" i="453"/>
  <c r="H31" i="453"/>
  <c r="F45" i="452"/>
  <c r="F44" i="452"/>
  <c r="F43" i="452"/>
  <c r="H31" i="452"/>
  <c r="F45" i="451"/>
  <c r="F44" i="451"/>
  <c r="F43" i="451"/>
  <c r="H31" i="451"/>
  <c r="F45" i="450"/>
  <c r="F44" i="450"/>
  <c r="F43" i="450"/>
  <c r="H31" i="450"/>
  <c r="F45" i="449"/>
  <c r="F44" i="449"/>
  <c r="F43" i="449"/>
  <c r="H31" i="449"/>
  <c r="F45" i="448"/>
  <c r="F44" i="448"/>
  <c r="F43" i="448"/>
  <c r="H31" i="448"/>
  <c r="E116" i="31"/>
  <c r="E121" i="31"/>
  <c r="E21" i="448" s="1"/>
  <c r="G21" i="448" s="1"/>
  <c r="H25" i="448" s="1"/>
  <c r="E122" i="31"/>
  <c r="E21" i="449" s="1"/>
  <c r="G21" i="449" s="1"/>
  <c r="H25" i="449" s="1"/>
  <c r="E123" i="31"/>
  <c r="E21" i="450" s="1"/>
  <c r="G21" i="450" s="1"/>
  <c r="H25" i="450" s="1"/>
  <c r="E124" i="31"/>
  <c r="E21" i="451" s="1"/>
  <c r="G21" i="451" s="1"/>
  <c r="H25" i="451" s="1"/>
  <c r="E125" i="31"/>
  <c r="E21" i="452" s="1"/>
  <c r="G21" i="452" s="1"/>
  <c r="H25" i="452" s="1"/>
  <c r="E126" i="31"/>
  <c r="E21" i="453" s="1"/>
  <c r="G21" i="453" s="1"/>
  <c r="H25" i="453" s="1"/>
  <c r="F45" i="447"/>
  <c r="F44" i="447"/>
  <c r="F43" i="447"/>
  <c r="H31" i="447"/>
  <c r="F45" i="446"/>
  <c r="F44" i="446"/>
  <c r="F43" i="446"/>
  <c r="H31" i="446"/>
  <c r="F45" i="445"/>
  <c r="F44" i="445"/>
  <c r="F43" i="445"/>
  <c r="H31" i="445"/>
  <c r="F45" i="444"/>
  <c r="F44" i="444"/>
  <c r="F43" i="444"/>
  <c r="H31" i="444"/>
  <c r="F45" i="443"/>
  <c r="F44" i="443"/>
  <c r="F43" i="443"/>
  <c r="H31" i="443"/>
  <c r="F45" i="442"/>
  <c r="F44" i="442"/>
  <c r="F43" i="442"/>
  <c r="H31" i="442"/>
  <c r="F24" i="437" l="1"/>
  <c r="G24" i="437" s="1"/>
  <c r="F30" i="437"/>
  <c r="G30" i="437" s="1"/>
  <c r="E25" i="254" l="1"/>
  <c r="G25" i="254" s="1"/>
  <c r="G23" i="434" l="1"/>
  <c r="G12" i="257" l="1"/>
  <c r="E21" i="441"/>
  <c r="G21" i="441" s="1"/>
  <c r="H25" i="441" s="1"/>
  <c r="F45" i="441"/>
  <c r="F44" i="441"/>
  <c r="F43" i="441"/>
  <c r="H31" i="441"/>
  <c r="E21" i="440"/>
  <c r="G21" i="440" s="1"/>
  <c r="F45" i="440"/>
  <c r="F44" i="440"/>
  <c r="F43" i="440"/>
  <c r="H31" i="440"/>
  <c r="E22" i="275" l="1"/>
  <c r="G22" i="275" s="1"/>
  <c r="E22" i="274"/>
  <c r="G22" i="274" s="1"/>
  <c r="E22" i="273"/>
  <c r="G22" i="273" s="1"/>
  <c r="E22" i="272"/>
  <c r="G22" i="272" s="1"/>
  <c r="E22" i="271"/>
  <c r="G22" i="271" s="1"/>
  <c r="H194" i="31" l="1"/>
  <c r="G194" i="31"/>
  <c r="F194" i="31"/>
  <c r="H193" i="31"/>
  <c r="G193" i="31"/>
  <c r="F193" i="31"/>
  <c r="H192" i="31"/>
  <c r="G192" i="31"/>
  <c r="F192" i="31"/>
  <c r="H191" i="31"/>
  <c r="G191" i="31"/>
  <c r="F191" i="31"/>
  <c r="H190" i="31"/>
  <c r="G190" i="31"/>
  <c r="F190" i="31"/>
  <c r="H189" i="31"/>
  <c r="G189" i="31"/>
  <c r="F189" i="31"/>
  <c r="H188" i="31"/>
  <c r="G188" i="31"/>
  <c r="F188" i="31"/>
  <c r="H187" i="31"/>
  <c r="G187" i="31"/>
  <c r="F187" i="31"/>
  <c r="H186" i="31"/>
  <c r="G186" i="31"/>
  <c r="F186" i="31"/>
  <c r="H185" i="31"/>
  <c r="G185" i="31"/>
  <c r="F185" i="31"/>
  <c r="H184" i="31"/>
  <c r="G184" i="31"/>
  <c r="F184" i="31"/>
  <c r="H183" i="31"/>
  <c r="G183" i="31"/>
  <c r="F183" i="31"/>
  <c r="H182" i="31"/>
  <c r="G182" i="31"/>
  <c r="F182" i="31"/>
  <c r="E184" i="31" l="1"/>
  <c r="E188" i="31"/>
  <c r="E194" i="31"/>
  <c r="E182" i="31"/>
  <c r="E183" i="31"/>
  <c r="E187" i="31"/>
  <c r="E185" i="31"/>
  <c r="E190" i="31"/>
  <c r="E186" i="31"/>
  <c r="E192" i="31"/>
  <c r="E189" i="31"/>
  <c r="E193" i="31"/>
  <c r="E191" i="31"/>
  <c r="H9" i="31"/>
  <c r="G9" i="31"/>
  <c r="E22" i="440"/>
  <c r="G22" i="440" s="1"/>
  <c r="H25" i="440" s="1"/>
  <c r="F9" i="31"/>
  <c r="G36" i="31"/>
  <c r="E36" i="31" s="1"/>
  <c r="E9" i="31" l="1"/>
  <c r="G38" i="31"/>
  <c r="G27" i="31"/>
  <c r="E27" i="31" s="1"/>
  <c r="E22" i="254" l="1"/>
  <c r="G22" i="254" s="1"/>
  <c r="F38" i="31"/>
  <c r="E38" i="31" s="1"/>
  <c r="G46" i="31"/>
  <c r="G11" i="31"/>
  <c r="E11" i="31" l="1"/>
  <c r="E23" i="108" s="1"/>
  <c r="E46" i="31"/>
  <c r="E21" i="109" s="1"/>
  <c r="E21" i="443"/>
  <c r="G21" i="443" s="1"/>
  <c r="E21" i="442"/>
  <c r="G21" i="442" s="1"/>
  <c r="E21" i="444"/>
  <c r="G21" i="444" s="1"/>
  <c r="E22" i="445"/>
  <c r="G22" i="445" s="1"/>
  <c r="H15" i="31"/>
  <c r="G15" i="31"/>
  <c r="F15" i="31"/>
  <c r="E15" i="31" s="1"/>
  <c r="G54" i="31"/>
  <c r="E54" i="31" s="1"/>
  <c r="G43" i="31"/>
  <c r="E43" i="31" s="1"/>
  <c r="G37" i="31"/>
  <c r="E37" i="31" s="1"/>
  <c r="G10" i="31"/>
  <c r="E10" i="31" s="1"/>
  <c r="H10" i="31"/>
  <c r="H43" i="31"/>
  <c r="H45" i="31"/>
  <c r="G45" i="31"/>
  <c r="F45" i="31"/>
  <c r="E45" i="31" s="1"/>
  <c r="F9" i="38"/>
  <c r="E9" i="38"/>
  <c r="G9" i="38"/>
  <c r="E21" i="437" l="1"/>
  <c r="E22" i="437"/>
  <c r="G22" i="437" s="1"/>
  <c r="D9" i="38"/>
  <c r="E21" i="267"/>
  <c r="E219" i="31"/>
  <c r="E220" i="31"/>
  <c r="E221" i="31"/>
  <c r="E218" i="31"/>
  <c r="E217" i="31"/>
  <c r="F163" i="31"/>
  <c r="F180" i="31"/>
  <c r="F179" i="31"/>
  <c r="F178" i="31"/>
  <c r="F177" i="31"/>
  <c r="F176" i="31"/>
  <c r="F174" i="31"/>
  <c r="E174" i="31" s="1"/>
  <c r="F173" i="31"/>
  <c r="F215" i="31"/>
  <c r="F214" i="31"/>
  <c r="F213" i="31"/>
  <c r="F212" i="31"/>
  <c r="F211" i="31"/>
  <c r="F210" i="31"/>
  <c r="F209" i="31"/>
  <c r="F208" i="31"/>
  <c r="F171" i="31"/>
  <c r="F170" i="31"/>
  <c r="F169" i="31"/>
  <c r="E169" i="31" s="1"/>
  <c r="F168" i="31"/>
  <c r="F167" i="31"/>
  <c r="F166" i="31"/>
  <c r="F165" i="31"/>
  <c r="F164" i="31"/>
  <c r="H115" i="31"/>
  <c r="G115" i="31"/>
  <c r="F115" i="31"/>
  <c r="H114" i="31"/>
  <c r="G114" i="31"/>
  <c r="F114" i="31"/>
  <c r="H113" i="31"/>
  <c r="G113" i="31"/>
  <c r="F113" i="31"/>
  <c r="H112" i="31"/>
  <c r="G112" i="31"/>
  <c r="F112" i="31"/>
  <c r="H111" i="31"/>
  <c r="G111" i="31"/>
  <c r="F111" i="31"/>
  <c r="H110" i="31"/>
  <c r="G110" i="31"/>
  <c r="F110" i="31"/>
  <c r="H95" i="31"/>
  <c r="G95" i="31"/>
  <c r="F95" i="31"/>
  <c r="H94" i="31"/>
  <c r="G94" i="31"/>
  <c r="F94" i="31"/>
  <c r="H93" i="31"/>
  <c r="G93" i="31"/>
  <c r="F93" i="31"/>
  <c r="H92" i="31"/>
  <c r="G92" i="31"/>
  <c r="F92" i="31"/>
  <c r="H91" i="31"/>
  <c r="G91" i="31"/>
  <c r="F91" i="31"/>
  <c r="H90" i="31"/>
  <c r="G90" i="31"/>
  <c r="F90" i="31"/>
  <c r="F109" i="31"/>
  <c r="E109" i="31" s="1"/>
  <c r="F108" i="31"/>
  <c r="E108" i="31" s="1"/>
  <c r="F89" i="31"/>
  <c r="E89" i="31" s="1"/>
  <c r="E68" i="31"/>
  <c r="E69" i="31"/>
  <c r="E70" i="31"/>
  <c r="E23" i="442" s="1"/>
  <c r="G23" i="442" s="1"/>
  <c r="E71" i="31"/>
  <c r="E24" i="443" s="1"/>
  <c r="G24" i="443" s="1"/>
  <c r="E72" i="31"/>
  <c r="E24" i="444" s="1"/>
  <c r="G24" i="444" s="1"/>
  <c r="E73" i="31"/>
  <c r="E24" i="445" s="1"/>
  <c r="G24" i="445" s="1"/>
  <c r="E85" i="31"/>
  <c r="E86" i="31"/>
  <c r="E87" i="31"/>
  <c r="E88" i="31"/>
  <c r="G19" i="38"/>
  <c r="D19" i="38" s="1"/>
  <c r="F29" i="437" s="1"/>
  <c r="D17" i="38"/>
  <c r="D16" i="38"/>
  <c r="D15" i="38"/>
  <c r="E13" i="104" s="1"/>
  <c r="G13" i="104" s="1"/>
  <c r="D14" i="38"/>
  <c r="D13" i="38"/>
  <c r="D12" i="38"/>
  <c r="D11" i="38"/>
  <c r="D10" i="38"/>
  <c r="D7" i="38"/>
  <c r="D6" i="38"/>
  <c r="E14" i="103" s="1"/>
  <c r="D5" i="38"/>
  <c r="E15" i="104" s="1"/>
  <c r="G15" i="104" s="1"/>
  <c r="D4" i="38"/>
  <c r="E14" i="104" s="1"/>
  <c r="G14" i="104" s="1"/>
  <c r="D2" i="38"/>
  <c r="E13" i="44" s="1"/>
  <c r="G14" i="103" l="1"/>
  <c r="G15" i="103"/>
  <c r="E23" i="443"/>
  <c r="G23" i="443" s="1"/>
  <c r="E23" i="444"/>
  <c r="G23" i="444" s="1"/>
  <c r="E24" i="442"/>
  <c r="G24" i="442" s="1"/>
  <c r="E23" i="445"/>
  <c r="G23" i="445" s="1"/>
  <c r="E113" i="31"/>
  <c r="E177" i="31"/>
  <c r="E163" i="31"/>
  <c r="E164" i="31"/>
  <c r="E111" i="31"/>
  <c r="E93" i="31"/>
  <c r="E112" i="31"/>
  <c r="E171" i="31"/>
  <c r="E91" i="31"/>
  <c r="E170" i="31"/>
  <c r="E110" i="31"/>
  <c r="E165" i="31"/>
  <c r="E94" i="31"/>
  <c r="E115" i="31"/>
  <c r="E92" i="31"/>
  <c r="E166" i="31"/>
  <c r="E167" i="31"/>
  <c r="E90" i="31"/>
  <c r="E95" i="31"/>
  <c r="E168" i="31"/>
  <c r="E114" i="31"/>
  <c r="E24" i="254" l="1"/>
  <c r="G24" i="254" s="1"/>
  <c r="E13" i="106"/>
  <c r="G13" i="106" s="1"/>
  <c r="E13" i="107"/>
  <c r="G13" i="107" s="1"/>
  <c r="E12" i="258"/>
  <c r="E22" i="443" l="1"/>
  <c r="G22" i="443" s="1"/>
  <c r="H25" i="443" s="1"/>
  <c r="E22" i="442"/>
  <c r="G22" i="442" s="1"/>
  <c r="H25" i="442" s="1"/>
  <c r="E22" i="444"/>
  <c r="G22" i="444" s="1"/>
  <c r="H25" i="444" s="1"/>
  <c r="E21" i="445"/>
  <c r="G21" i="445" s="1"/>
  <c r="H25" i="445" s="1"/>
  <c r="G29" i="437"/>
  <c r="H34" i="437" s="1"/>
  <c r="G21" i="437"/>
  <c r="F44" i="438"/>
  <c r="F43" i="438"/>
  <c r="F42" i="438"/>
  <c r="H30" i="438"/>
  <c r="E21" i="438"/>
  <c r="G21" i="438" s="1"/>
  <c r="E20" i="438"/>
  <c r="G20" i="438" s="1"/>
  <c r="F51" i="437"/>
  <c r="F50" i="437"/>
  <c r="F49" i="437"/>
  <c r="F45" i="436"/>
  <c r="F44" i="436"/>
  <c r="F43" i="436"/>
  <c r="H31" i="436"/>
  <c r="E21" i="436"/>
  <c r="G21" i="436" s="1"/>
  <c r="E20" i="436"/>
  <c r="G20" i="436" s="1"/>
  <c r="E19" i="436"/>
  <c r="G19" i="436" s="1"/>
  <c r="F48" i="435"/>
  <c r="F47" i="435"/>
  <c r="F46" i="435"/>
  <c r="F26" i="435"/>
  <c r="G26" i="435" s="1"/>
  <c r="H31" i="435" s="1"/>
  <c r="E22" i="435"/>
  <c r="G22" i="435" s="1"/>
  <c r="E21" i="435"/>
  <c r="G21" i="435" s="1"/>
  <c r="E20" i="435"/>
  <c r="G20" i="435" s="1"/>
  <c r="E19" i="435"/>
  <c r="G19" i="435" s="1"/>
  <c r="F46" i="434"/>
  <c r="F45" i="434"/>
  <c r="F44" i="434"/>
  <c r="H32" i="434"/>
  <c r="E22" i="434"/>
  <c r="G22" i="434" s="1"/>
  <c r="E21" i="434"/>
  <c r="G21" i="434" s="1"/>
  <c r="E20" i="434"/>
  <c r="G20" i="434" s="1"/>
  <c r="E19" i="434"/>
  <c r="G19" i="434" s="1"/>
  <c r="E19" i="433"/>
  <c r="G19" i="433" s="1"/>
  <c r="F48" i="433"/>
  <c r="F47" i="433"/>
  <c r="F46" i="433"/>
  <c r="F26" i="433"/>
  <c r="G26" i="433" s="1"/>
  <c r="H31" i="433" s="1"/>
  <c r="E22" i="433"/>
  <c r="G22" i="433" s="1"/>
  <c r="E21" i="433"/>
  <c r="G21" i="433" s="1"/>
  <c r="E20" i="433"/>
  <c r="G20" i="433" s="1"/>
  <c r="F48" i="432"/>
  <c r="F47" i="432"/>
  <c r="F46" i="432"/>
  <c r="F26" i="432"/>
  <c r="G26" i="432" s="1"/>
  <c r="H31" i="432" s="1"/>
  <c r="E22" i="432"/>
  <c r="G22" i="432" s="1"/>
  <c r="E21" i="432"/>
  <c r="G21" i="432" s="1"/>
  <c r="E20" i="432"/>
  <c r="G20" i="432" s="1"/>
  <c r="E19" i="432"/>
  <c r="G19" i="432" s="1"/>
  <c r="E19" i="292"/>
  <c r="G19" i="292" s="1"/>
  <c r="F48" i="292"/>
  <c r="F47" i="292"/>
  <c r="F46" i="292"/>
  <c r="F26" i="292"/>
  <c r="G26" i="292" s="1"/>
  <c r="H31" i="292" s="1"/>
  <c r="E22" i="292"/>
  <c r="G22" i="292" s="1"/>
  <c r="E21" i="292"/>
  <c r="G21" i="292" s="1"/>
  <c r="E20" i="292"/>
  <c r="G20" i="292" s="1"/>
  <c r="F50" i="291"/>
  <c r="F49" i="291"/>
  <c r="F48" i="291"/>
  <c r="F28" i="291"/>
  <c r="G28" i="291" s="1"/>
  <c r="H33" i="291" s="1"/>
  <c r="E24" i="291"/>
  <c r="G24" i="291" s="1"/>
  <c r="E23" i="291"/>
  <c r="G23" i="291" s="1"/>
  <c r="E22" i="291"/>
  <c r="G22" i="291" s="1"/>
  <c r="E21" i="291"/>
  <c r="G21" i="291" s="1"/>
  <c r="E20" i="291"/>
  <c r="G20" i="291" s="1"/>
  <c r="E19" i="291"/>
  <c r="G19" i="291" s="1"/>
  <c r="E22" i="290"/>
  <c r="G22" i="290" s="1"/>
  <c r="E20" i="290"/>
  <c r="G20" i="290" s="1"/>
  <c r="F50" i="290"/>
  <c r="F49" i="290"/>
  <c r="F48" i="290"/>
  <c r="F28" i="290"/>
  <c r="G28" i="290" s="1"/>
  <c r="H33" i="290" s="1"/>
  <c r="E24" i="290"/>
  <c r="G24" i="290" s="1"/>
  <c r="E23" i="290"/>
  <c r="G23" i="290" s="1"/>
  <c r="E21" i="290"/>
  <c r="G21" i="290" s="1"/>
  <c r="E19" i="290"/>
  <c r="G19" i="290" s="1"/>
  <c r="F48" i="289"/>
  <c r="F47" i="289"/>
  <c r="F46" i="289"/>
  <c r="F26" i="289"/>
  <c r="G26" i="289" s="1"/>
  <c r="H31" i="289" s="1"/>
  <c r="E22" i="289"/>
  <c r="G22" i="289" s="1"/>
  <c r="E21" i="289"/>
  <c r="G21" i="289" s="1"/>
  <c r="E20" i="289"/>
  <c r="G20" i="289" s="1"/>
  <c r="E19" i="289"/>
  <c r="G19" i="289" s="1"/>
  <c r="F26" i="288"/>
  <c r="G26" i="288" s="1"/>
  <c r="H24" i="434" l="1"/>
  <c r="H24" i="438"/>
  <c r="H23" i="436"/>
  <c r="H23" i="435"/>
  <c r="H23" i="433"/>
  <c r="H23" i="432"/>
  <c r="H23" i="292"/>
  <c r="H25" i="291"/>
  <c r="H25" i="290"/>
  <c r="H23" i="289"/>
  <c r="E14" i="71" l="1"/>
  <c r="E22" i="288" l="1"/>
  <c r="G22" i="288" s="1"/>
  <c r="E21" i="288"/>
  <c r="G21" i="288" s="1"/>
  <c r="E20" i="288"/>
  <c r="G20" i="288" s="1"/>
  <c r="E19" i="288"/>
  <c r="G19" i="288" s="1"/>
  <c r="E21" i="250" l="1"/>
  <c r="F45" i="424" l="1"/>
  <c r="F44" i="424"/>
  <c r="F43" i="424"/>
  <c r="H31" i="424"/>
  <c r="F45" i="423"/>
  <c r="F44" i="423"/>
  <c r="F43" i="423"/>
  <c r="H31" i="423"/>
  <c r="F45" i="422"/>
  <c r="F44" i="422"/>
  <c r="F43" i="422"/>
  <c r="H31" i="422"/>
  <c r="F45" i="421"/>
  <c r="F44" i="421"/>
  <c r="F43" i="421"/>
  <c r="H31" i="421"/>
  <c r="F45" i="420"/>
  <c r="F44" i="420"/>
  <c r="F43" i="420"/>
  <c r="H31" i="420"/>
  <c r="F45" i="419"/>
  <c r="F44" i="419"/>
  <c r="F43" i="419"/>
  <c r="H31" i="419"/>
  <c r="F45" i="418"/>
  <c r="F44" i="418"/>
  <c r="F43" i="418"/>
  <c r="H31" i="418"/>
  <c r="E27" i="48" l="1"/>
  <c r="G27" i="48" s="1"/>
  <c r="E27" i="47"/>
  <c r="G27" i="47" s="1"/>
  <c r="E27" i="41"/>
  <c r="G27" i="41" s="1"/>
  <c r="E27" i="40"/>
  <c r="G27" i="40" s="1"/>
  <c r="E28" i="36"/>
  <c r="G28" i="36" l="1"/>
  <c r="E10" i="22" l="1"/>
  <c r="E21" i="22" s="1"/>
  <c r="C10" i="22"/>
  <c r="G10" i="22"/>
  <c r="E14" i="22" l="1"/>
  <c r="E31" i="22" s="1"/>
  <c r="E26" i="22" l="1"/>
  <c r="E29" i="22"/>
  <c r="E32" i="22"/>
  <c r="E30" i="22"/>
  <c r="E25" i="22"/>
  <c r="E24" i="22"/>
  <c r="G4" i="415"/>
  <c r="F4" i="415"/>
  <c r="G6" i="31" l="1"/>
  <c r="E20" i="437"/>
  <c r="G20" i="437" s="1"/>
  <c r="F6" i="31"/>
  <c r="H6" i="31"/>
  <c r="E6" i="31" l="1"/>
  <c r="E19" i="437" s="1"/>
  <c r="G19" i="437" s="1"/>
  <c r="K37" i="22" l="1"/>
  <c r="I37" i="22"/>
  <c r="G37" i="22"/>
  <c r="E37" i="22"/>
  <c r="C37" i="22"/>
  <c r="K10" i="22"/>
  <c r="K21" i="22" s="1"/>
  <c r="I10" i="22"/>
  <c r="I21" i="22" s="1"/>
  <c r="G21" i="22"/>
  <c r="B6" i="22"/>
  <c r="C14" i="22" l="1"/>
  <c r="C21" i="22"/>
  <c r="F21" i="22"/>
  <c r="G14" i="22"/>
  <c r="K14" i="22"/>
  <c r="E11" i="22"/>
  <c r="E12" i="22" s="1"/>
  <c r="E13" i="22" s="1"/>
  <c r="I11" i="22"/>
  <c r="I15" i="22" s="1"/>
  <c r="J15" i="22" s="1"/>
  <c r="C11" i="22"/>
  <c r="C15" i="22" s="1"/>
  <c r="G11" i="22"/>
  <c r="G15" i="22" s="1"/>
  <c r="K11" i="22"/>
  <c r="K15" i="22" s="1"/>
  <c r="I14" i="22"/>
  <c r="D15" i="22" l="1"/>
  <c r="H15" i="22"/>
  <c r="L15" i="22"/>
  <c r="G32" i="22"/>
  <c r="H32" i="22" s="1"/>
  <c r="G31" i="22"/>
  <c r="H31" i="22" s="1"/>
  <c r="G29" i="22"/>
  <c r="H29" i="22" s="1"/>
  <c r="G25" i="22"/>
  <c r="H25" i="22" s="1"/>
  <c r="G30" i="22"/>
  <c r="H30" i="22" s="1"/>
  <c r="G26" i="22"/>
  <c r="H26" i="22" s="1"/>
  <c r="E15" i="22"/>
  <c r="F15" i="22" s="1"/>
  <c r="L21" i="22"/>
  <c r="K31" i="22"/>
  <c r="L31" i="22" s="1"/>
  <c r="K29" i="22"/>
  <c r="L29" i="22" s="1"/>
  <c r="K32" i="22"/>
  <c r="L32" i="22" s="1"/>
  <c r="K25" i="22"/>
  <c r="L25" i="22" s="1"/>
  <c r="K30" i="22"/>
  <c r="L30" i="22" s="1"/>
  <c r="K26" i="22"/>
  <c r="L26" i="22" s="1"/>
  <c r="I32" i="22"/>
  <c r="J32" i="22" s="1"/>
  <c r="I26" i="22"/>
  <c r="J26" i="22" s="1"/>
  <c r="I25" i="22"/>
  <c r="J25" i="22" s="1"/>
  <c r="I30" i="22"/>
  <c r="J30" i="22" s="1"/>
  <c r="I31" i="22"/>
  <c r="J31" i="22" s="1"/>
  <c r="I29" i="22"/>
  <c r="C12" i="22"/>
  <c r="C25" i="22"/>
  <c r="D25" i="22" s="1"/>
  <c r="C24" i="22"/>
  <c r="D24" i="22" s="1"/>
  <c r="C16" i="22"/>
  <c r="C32" i="22"/>
  <c r="D32" i="22" s="1"/>
  <c r="C26" i="22"/>
  <c r="D26" i="22" s="1"/>
  <c r="C31" i="22"/>
  <c r="D31" i="22" s="1"/>
  <c r="C29" i="22"/>
  <c r="C30" i="22"/>
  <c r="D30" i="22" s="1"/>
  <c r="E18" i="22"/>
  <c r="H36" i="22"/>
  <c r="I12" i="22"/>
  <c r="I18" i="22" s="1"/>
  <c r="K24" i="22"/>
  <c r="L24" i="22" s="1"/>
  <c r="K12" i="22"/>
  <c r="L14" i="22"/>
  <c r="H21" i="22"/>
  <c r="H14" i="22"/>
  <c r="H35" i="22"/>
  <c r="K16" i="22"/>
  <c r="G16" i="22"/>
  <c r="L35" i="22"/>
  <c r="G24" i="22"/>
  <c r="H24" i="22" s="1"/>
  <c r="L36" i="22"/>
  <c r="D36" i="22"/>
  <c r="D14" i="22"/>
  <c r="D21" i="22"/>
  <c r="D35" i="22"/>
  <c r="J35" i="22"/>
  <c r="I16" i="22"/>
  <c r="J14" i="22"/>
  <c r="I24" i="22"/>
  <c r="J36" i="22"/>
  <c r="F35" i="22"/>
  <c r="F32" i="22"/>
  <c r="F31" i="22"/>
  <c r="F30" i="22"/>
  <c r="F14" i="22"/>
  <c r="F36" i="22"/>
  <c r="F26" i="22"/>
  <c r="F25" i="22"/>
  <c r="G12" i="22"/>
  <c r="J21" i="22"/>
  <c r="G20" i="22" l="1"/>
  <c r="H20" i="22" s="1"/>
  <c r="G13" i="22"/>
  <c r="P10" i="22" s="1"/>
  <c r="C50" i="22" s="1"/>
  <c r="I19" i="22"/>
  <c r="J19" i="22" s="1"/>
  <c r="J18" i="22"/>
  <c r="K18" i="22"/>
  <c r="K20" i="22"/>
  <c r="L20" i="22" s="1"/>
  <c r="C20" i="22"/>
  <c r="D20" i="22" s="1"/>
  <c r="C13" i="22"/>
  <c r="P8" i="22" s="1"/>
  <c r="C48" i="22" s="1"/>
  <c r="C18" i="22"/>
  <c r="I13" i="22"/>
  <c r="P13" i="22" s="1"/>
  <c r="C53" i="22" s="1"/>
  <c r="I20" i="22"/>
  <c r="J20" i="22" s="1"/>
  <c r="E16" i="22"/>
  <c r="E19" i="22"/>
  <c r="F19" i="22" s="1"/>
  <c r="F18" i="22"/>
  <c r="P12" i="22"/>
  <c r="C52" i="22" s="1"/>
  <c r="C35" i="457" s="1"/>
  <c r="E20" i="22"/>
  <c r="F20" i="22" s="1"/>
  <c r="K27" i="22"/>
  <c r="G33" i="22"/>
  <c r="K13" i="22"/>
  <c r="P14" i="22" s="1"/>
  <c r="C54" i="22" s="1"/>
  <c r="K33" i="22"/>
  <c r="C27" i="22"/>
  <c r="G27" i="22"/>
  <c r="C33" i="22"/>
  <c r="D29" i="22"/>
  <c r="F29" i="22"/>
  <c r="E33" i="22"/>
  <c r="I27" i="22"/>
  <c r="J24" i="22"/>
  <c r="I33" i="22"/>
  <c r="J29" i="22"/>
  <c r="G18" i="22"/>
  <c r="E27" i="22"/>
  <c r="F24" i="22"/>
  <c r="C34" i="455" l="1"/>
  <c r="C36" i="457"/>
  <c r="C34" i="456"/>
  <c r="C34" i="454"/>
  <c r="C34" i="101"/>
  <c r="C34" i="108"/>
  <c r="C33" i="111"/>
  <c r="C34" i="109"/>
  <c r="C35" i="109"/>
  <c r="C35" i="104"/>
  <c r="C36" i="108"/>
  <c r="C35" i="105"/>
  <c r="C36" i="104"/>
  <c r="C34" i="103"/>
  <c r="C36" i="105"/>
  <c r="C34" i="111"/>
  <c r="C35" i="448"/>
  <c r="C35" i="453"/>
  <c r="C35" i="451"/>
  <c r="C35" i="450"/>
  <c r="C35" i="452"/>
  <c r="C35" i="449"/>
  <c r="C35" i="327"/>
  <c r="C35" i="447"/>
  <c r="C35" i="444"/>
  <c r="C35" i="443"/>
  <c r="C35" i="446"/>
  <c r="C35" i="442"/>
  <c r="C35" i="445"/>
  <c r="C35" i="305"/>
  <c r="C43" i="437"/>
  <c r="C39" i="437"/>
  <c r="C37" i="437"/>
  <c r="C38" i="437"/>
  <c r="C42" i="437"/>
  <c r="C40" i="437"/>
  <c r="C41" i="437"/>
  <c r="C34" i="440"/>
  <c r="C37" i="436"/>
  <c r="C37" i="435"/>
  <c r="C40" i="433"/>
  <c r="C36" i="433"/>
  <c r="C39" i="432"/>
  <c r="C35" i="432"/>
  <c r="C38" i="292"/>
  <c r="C34" i="292"/>
  <c r="C39" i="291"/>
  <c r="C41" i="290"/>
  <c r="C38" i="434"/>
  <c r="C40" i="290"/>
  <c r="C39" i="289"/>
  <c r="C35" i="289"/>
  <c r="C38" i="288"/>
  <c r="C34" i="288"/>
  <c r="C39" i="435"/>
  <c r="C38" i="433"/>
  <c r="C37" i="432"/>
  <c r="C36" i="292"/>
  <c r="C37" i="291"/>
  <c r="C37" i="290"/>
  <c r="C36" i="434"/>
  <c r="C36" i="290"/>
  <c r="C40" i="288"/>
  <c r="C38" i="435"/>
  <c r="C34" i="435"/>
  <c r="C37" i="433"/>
  <c r="C40" i="432"/>
  <c r="C36" i="432"/>
  <c r="C39" i="292"/>
  <c r="C35" i="292"/>
  <c r="C40" i="291"/>
  <c r="C36" i="291"/>
  <c r="C34" i="436"/>
  <c r="C35" i="434"/>
  <c r="C42" i="290"/>
  <c r="C40" i="289"/>
  <c r="C36" i="289"/>
  <c r="C39" i="288"/>
  <c r="C35" i="288"/>
  <c r="C36" i="436"/>
  <c r="C40" i="435"/>
  <c r="C36" i="435"/>
  <c r="C39" i="433"/>
  <c r="C35" i="433"/>
  <c r="C38" i="432"/>
  <c r="C34" i="432"/>
  <c r="C37" i="292"/>
  <c r="C42" i="291"/>
  <c r="C38" i="291"/>
  <c r="C39" i="290"/>
  <c r="C37" i="434"/>
  <c r="C38" i="290"/>
  <c r="C38" i="289"/>
  <c r="C34" i="289"/>
  <c r="C37" i="288"/>
  <c r="C35" i="435"/>
  <c r="C34" i="433"/>
  <c r="C40" i="292"/>
  <c r="C41" i="291"/>
  <c r="C37" i="289"/>
  <c r="C36" i="288"/>
  <c r="C35" i="436"/>
  <c r="C34" i="322"/>
  <c r="C34" i="321"/>
  <c r="C34" i="441"/>
  <c r="C35" i="249"/>
  <c r="C33" i="438"/>
  <c r="C34" i="249"/>
  <c r="C35" i="424"/>
  <c r="C35" i="423"/>
  <c r="C35" i="422"/>
  <c r="C35" i="421"/>
  <c r="C35" i="420"/>
  <c r="C35" i="418"/>
  <c r="C35" i="419"/>
  <c r="C34" i="53"/>
  <c r="C35" i="326"/>
  <c r="C35" i="325"/>
  <c r="C35" i="324"/>
  <c r="F38" i="22"/>
  <c r="C19" i="22"/>
  <c r="D19" i="22" s="1"/>
  <c r="D18" i="22"/>
  <c r="K19" i="22"/>
  <c r="L19" i="22" s="1"/>
  <c r="L18" i="22"/>
  <c r="H18" i="22"/>
  <c r="G19" i="22"/>
  <c r="H19" i="22" s="1"/>
  <c r="E22" i="22"/>
  <c r="E38" i="22" s="1"/>
  <c r="P9" i="22"/>
  <c r="C49" i="22" s="1"/>
  <c r="P11" i="22"/>
  <c r="C51" i="22" s="1"/>
  <c r="J38" i="22"/>
  <c r="D53" i="22" s="1"/>
  <c r="I22" i="22"/>
  <c r="I38" i="22" s="1"/>
  <c r="C34" i="104" l="1"/>
  <c r="C34" i="105"/>
  <c r="C35" i="111"/>
  <c r="C36" i="109"/>
  <c r="C32" i="44"/>
  <c r="C35" i="101"/>
  <c r="C35" i="100"/>
  <c r="C34" i="449"/>
  <c r="C34" i="453"/>
  <c r="C34" i="451"/>
  <c r="C34" i="448"/>
  <c r="C34" i="450"/>
  <c r="C34" i="452"/>
  <c r="C34" i="327"/>
  <c r="C34" i="445"/>
  <c r="C34" i="446"/>
  <c r="C34" i="447"/>
  <c r="C34" i="444"/>
  <c r="C34" i="443"/>
  <c r="C34" i="442"/>
  <c r="C33" i="321"/>
  <c r="C33" i="322"/>
  <c r="C34" i="424"/>
  <c r="L38" i="22"/>
  <c r="R14" i="22" s="1"/>
  <c r="S14" i="22" s="1"/>
  <c r="C34" i="423"/>
  <c r="C34" i="422"/>
  <c r="C34" i="421"/>
  <c r="C34" i="420"/>
  <c r="C34" i="418"/>
  <c r="C34" i="419"/>
  <c r="K22" i="22"/>
  <c r="K38" i="22" s="1"/>
  <c r="D38" i="22"/>
  <c r="R8" i="22" s="1"/>
  <c r="S8" i="22" s="1"/>
  <c r="C34" i="326"/>
  <c r="C34" i="325"/>
  <c r="C22" i="22"/>
  <c r="C38" i="22" s="1"/>
  <c r="R9" i="22"/>
  <c r="S9" i="22" s="1"/>
  <c r="D51" i="22"/>
  <c r="D49" i="22"/>
  <c r="D52" i="22"/>
  <c r="D35" i="457" s="1"/>
  <c r="E35" i="457" s="1"/>
  <c r="G35" i="457" s="1"/>
  <c r="R12" i="22"/>
  <c r="S12" i="22" s="1"/>
  <c r="R13" i="22"/>
  <c r="S13" i="22" s="1"/>
  <c r="R11" i="22"/>
  <c r="S11" i="22" s="1"/>
  <c r="H38" i="22"/>
  <c r="D50" i="22" s="1"/>
  <c r="G22" i="22"/>
  <c r="G38" i="22" s="1"/>
  <c r="D34" i="104" l="1"/>
  <c r="E34" i="104" s="1"/>
  <c r="G34" i="104" s="1"/>
  <c r="D35" i="111"/>
  <c r="E35" i="111" s="1"/>
  <c r="G35" i="111" s="1"/>
  <c r="D34" i="105"/>
  <c r="D36" i="109"/>
  <c r="E36" i="109" s="1"/>
  <c r="G36" i="109" s="1"/>
  <c r="E34" i="105"/>
  <c r="G34" i="105" s="1"/>
  <c r="D32" i="44"/>
  <c r="E32" i="44" s="1"/>
  <c r="G32" i="44" s="1"/>
  <c r="D35" i="100"/>
  <c r="E35" i="100" s="1"/>
  <c r="G35" i="100" s="1"/>
  <c r="D35" i="101"/>
  <c r="E35" i="101" s="1"/>
  <c r="G35" i="101" s="1"/>
  <c r="D34" i="453"/>
  <c r="E34" i="453" s="1"/>
  <c r="G34" i="453" s="1"/>
  <c r="D34" i="451"/>
  <c r="E34" i="451" s="1"/>
  <c r="D34" i="448"/>
  <c r="E34" i="448" s="1"/>
  <c r="D34" i="450"/>
  <c r="E34" i="450" s="1"/>
  <c r="G34" i="450" s="1"/>
  <c r="D34" i="452"/>
  <c r="E34" i="452" s="1"/>
  <c r="G34" i="452" s="1"/>
  <c r="D34" i="449"/>
  <c r="E34" i="449" s="1"/>
  <c r="G34" i="449" s="1"/>
  <c r="D34" i="327"/>
  <c r="E34" i="327" s="1"/>
  <c r="G34" i="327" s="1"/>
  <c r="D34" i="445"/>
  <c r="E34" i="445" s="1"/>
  <c r="G34" i="445" s="1"/>
  <c r="D34" i="444"/>
  <c r="E34" i="444" s="1"/>
  <c r="G34" i="444" s="1"/>
  <c r="D34" i="442"/>
  <c r="E34" i="442" s="1"/>
  <c r="G34" i="442" s="1"/>
  <c r="D34" i="443"/>
  <c r="E34" i="443" s="1"/>
  <c r="G34" i="443" s="1"/>
  <c r="D34" i="447"/>
  <c r="E34" i="447" s="1"/>
  <c r="G34" i="447" s="1"/>
  <c r="D34" i="446"/>
  <c r="E34" i="446" s="1"/>
  <c r="G34" i="446" s="1"/>
  <c r="D34" i="321"/>
  <c r="E34" i="321" s="1"/>
  <c r="G34" i="321" s="1"/>
  <c r="D34" i="322"/>
  <c r="E34" i="322" s="1"/>
  <c r="G34" i="322" s="1"/>
  <c r="D35" i="249"/>
  <c r="E35" i="249" s="1"/>
  <c r="G35" i="249" s="1"/>
  <c r="D34" i="424"/>
  <c r="E34" i="424" s="1"/>
  <c r="G34" i="424" s="1"/>
  <c r="D54" i="22"/>
  <c r="D34" i="423"/>
  <c r="E34" i="423" s="1"/>
  <c r="G34" i="423" s="1"/>
  <c r="D34" i="422"/>
  <c r="E34" i="422" s="1"/>
  <c r="G34" i="422" s="1"/>
  <c r="D34" i="421"/>
  <c r="E34" i="421" s="1"/>
  <c r="G34" i="421" s="1"/>
  <c r="D34" i="420"/>
  <c r="E34" i="420" s="1"/>
  <c r="G34" i="420" s="1"/>
  <c r="D34" i="418"/>
  <c r="E34" i="418" s="1"/>
  <c r="G34" i="418" s="1"/>
  <c r="D34" i="419"/>
  <c r="E34" i="419" s="1"/>
  <c r="G34" i="419" s="1"/>
  <c r="D34" i="326"/>
  <c r="E34" i="326" s="1"/>
  <c r="G34" i="326" s="1"/>
  <c r="D34" i="325"/>
  <c r="E34" i="325" s="1"/>
  <c r="G34" i="325" s="1"/>
  <c r="D48" i="22"/>
  <c r="F51" i="22"/>
  <c r="D34" i="324"/>
  <c r="D37" i="402"/>
  <c r="D35" i="35"/>
  <c r="F49" i="22"/>
  <c r="H49" i="22" s="1"/>
  <c r="D33" i="383"/>
  <c r="D33" i="381"/>
  <c r="D33" i="379"/>
  <c r="D33" i="377"/>
  <c r="D34" i="375"/>
  <c r="D34" i="361"/>
  <c r="D34" i="359"/>
  <c r="D34" i="357"/>
  <c r="D34" i="355"/>
  <c r="D34" i="353"/>
  <c r="D34" i="351"/>
  <c r="D34" i="349"/>
  <c r="D34" i="347"/>
  <c r="D34" i="345"/>
  <c r="D34" i="343"/>
  <c r="D34" i="341"/>
  <c r="D34" i="339"/>
  <c r="D34" i="337"/>
  <c r="D33" i="335"/>
  <c r="D33" i="330"/>
  <c r="D34" i="307"/>
  <c r="D34" i="305"/>
  <c r="D34" i="303"/>
  <c r="D35" i="414"/>
  <c r="D35" i="411"/>
  <c r="D35" i="301"/>
  <c r="D35" i="299"/>
  <c r="D35" i="296"/>
  <c r="D35" i="294"/>
  <c r="D35" i="287"/>
  <c r="D35" i="285"/>
  <c r="D35" i="283"/>
  <c r="D35" i="281"/>
  <c r="D35" i="279"/>
  <c r="D35" i="277"/>
  <c r="D36" i="275"/>
  <c r="D36" i="273"/>
  <c r="D35" i="271"/>
  <c r="D34" i="269"/>
  <c r="D35" i="267"/>
  <c r="D35" i="261"/>
  <c r="D34" i="259"/>
  <c r="D35" i="257"/>
  <c r="D35" i="255"/>
  <c r="D37" i="253"/>
  <c r="D36" i="251"/>
  <c r="D35" i="246"/>
  <c r="D35" i="244"/>
  <c r="D35" i="240"/>
  <c r="D35" i="238"/>
  <c r="D35" i="236"/>
  <c r="D35" i="232"/>
  <c r="D35" i="230"/>
  <c r="D35" i="227"/>
  <c r="D34" i="226"/>
  <c r="D34" i="224"/>
  <c r="D34" i="409"/>
  <c r="D34" i="221"/>
  <c r="D34" i="219"/>
  <c r="D34" i="217"/>
  <c r="D34" i="216"/>
  <c r="D34" i="214"/>
  <c r="D33" i="384"/>
  <c r="D33" i="380"/>
  <c r="D34" i="376"/>
  <c r="D34" i="360"/>
  <c r="D34" i="356"/>
  <c r="D33" i="352"/>
  <c r="D34" i="348"/>
  <c r="D34" i="344"/>
  <c r="D34" i="340"/>
  <c r="D34" i="336"/>
  <c r="D33" i="320"/>
  <c r="D34" i="306"/>
  <c r="D35" i="412"/>
  <c r="D35" i="302"/>
  <c r="D34" i="298"/>
  <c r="D35" i="293"/>
  <c r="D35" i="284"/>
  <c r="D35" i="280"/>
  <c r="D35" i="276"/>
  <c r="D36" i="272"/>
  <c r="D34" i="268"/>
  <c r="D35" i="260"/>
  <c r="D35" i="256"/>
  <c r="D37" i="252"/>
  <c r="D35" i="245"/>
  <c r="D35" i="239"/>
  <c r="D35" i="235"/>
  <c r="D35" i="229"/>
  <c r="D34" i="225"/>
  <c r="D34" i="222"/>
  <c r="D34" i="218"/>
  <c r="D34" i="215"/>
  <c r="D35" i="212"/>
  <c r="D35" i="210"/>
  <c r="D35" i="208"/>
  <c r="D35" i="206"/>
  <c r="D35" i="408"/>
  <c r="D35" i="203"/>
  <c r="D35" i="201"/>
  <c r="D35" i="199"/>
  <c r="D35" i="197"/>
  <c r="D35" i="195"/>
  <c r="D35" i="407"/>
  <c r="D35" i="192"/>
  <c r="D35" i="190"/>
  <c r="D35" i="188"/>
  <c r="D35" i="186"/>
  <c r="D35" i="184"/>
  <c r="D34" i="182"/>
  <c r="D34" i="180"/>
  <c r="D34" i="178"/>
  <c r="D34" i="176"/>
  <c r="D35" i="174"/>
  <c r="D35" i="172"/>
  <c r="D35" i="170"/>
  <c r="D35" i="168"/>
  <c r="D35" i="166"/>
  <c r="D35" i="164"/>
  <c r="D35" i="162"/>
  <c r="D34" i="160"/>
  <c r="D35" i="157"/>
  <c r="D35" i="155"/>
  <c r="D35" i="153"/>
  <c r="D35" i="151"/>
  <c r="D35" i="149"/>
  <c r="D35" i="147"/>
  <c r="D35" i="145"/>
  <c r="D35" i="143"/>
  <c r="D35" i="141"/>
  <c r="D35" i="139"/>
  <c r="D35" i="137"/>
  <c r="D35" i="135"/>
  <c r="D35" i="133"/>
  <c r="D35" i="131"/>
  <c r="D35" i="129"/>
  <c r="D33" i="378"/>
  <c r="D34" i="362"/>
  <c r="D33" i="354"/>
  <c r="D34" i="346"/>
  <c r="D34" i="338"/>
  <c r="D34" i="308"/>
  <c r="D35" i="413"/>
  <c r="D36" i="295"/>
  <c r="D35" i="286"/>
  <c r="D35" i="278"/>
  <c r="D34" i="270"/>
  <c r="D35" i="258"/>
  <c r="D35" i="247"/>
  <c r="D35" i="237"/>
  <c r="D34" i="228"/>
  <c r="D34" i="220"/>
  <c r="D34" i="213"/>
  <c r="D35" i="209"/>
  <c r="D35" i="205"/>
  <c r="D35" i="202"/>
  <c r="D35" i="198"/>
  <c r="D35" i="194"/>
  <c r="D35" i="191"/>
  <c r="D35" i="187"/>
  <c r="D35" i="183"/>
  <c r="D34" i="179"/>
  <c r="D35" i="175"/>
  <c r="D35" i="171"/>
  <c r="D35" i="167"/>
  <c r="D35" i="163"/>
  <c r="D35" i="158"/>
  <c r="D35" i="154"/>
  <c r="D35" i="150"/>
  <c r="D35" i="146"/>
  <c r="D35" i="142"/>
  <c r="D35" i="138"/>
  <c r="D35" i="134"/>
  <c r="D35" i="130"/>
  <c r="D35" i="127"/>
  <c r="D33" i="382"/>
  <c r="D34" i="374"/>
  <c r="D34" i="358"/>
  <c r="D34" i="350"/>
  <c r="D34" i="342"/>
  <c r="D33" i="331"/>
  <c r="D33" i="399"/>
  <c r="D34" i="304"/>
  <c r="D35" i="300"/>
  <c r="D35" i="282"/>
  <c r="D36" i="274"/>
  <c r="D35" i="262"/>
  <c r="D37" i="254"/>
  <c r="D35" i="241"/>
  <c r="D35" i="231"/>
  <c r="D34" i="223"/>
  <c r="D34" i="410"/>
  <c r="D35" i="211"/>
  <c r="D35" i="207"/>
  <c r="D35" i="204"/>
  <c r="D35" i="200"/>
  <c r="D35" i="196"/>
  <c r="D35" i="193"/>
  <c r="D35" i="189"/>
  <c r="D35" i="185"/>
  <c r="D34" i="181"/>
  <c r="D34" i="177"/>
  <c r="D35" i="173"/>
  <c r="D35" i="169"/>
  <c r="D35" i="165"/>
  <c r="D34" i="161"/>
  <c r="D35" i="156"/>
  <c r="D35" i="152"/>
  <c r="D35" i="148"/>
  <c r="D35" i="144"/>
  <c r="D35" i="140"/>
  <c r="D35" i="136"/>
  <c r="D35" i="132"/>
  <c r="D35" i="128"/>
  <c r="D35" i="126"/>
  <c r="D35" i="125"/>
  <c r="D34" i="123"/>
  <c r="D35" i="107"/>
  <c r="D34" i="397"/>
  <c r="D34" i="99"/>
  <c r="D35" i="97"/>
  <c r="D37" i="401"/>
  <c r="D37" i="94"/>
  <c r="D37" i="404"/>
  <c r="D37" i="88"/>
  <c r="D37" i="87"/>
  <c r="D35" i="51"/>
  <c r="D35" i="124"/>
  <c r="D35" i="108"/>
  <c r="D35" i="106"/>
  <c r="D34" i="398"/>
  <c r="D35" i="98"/>
  <c r="D35" i="96"/>
  <c r="D37" i="95"/>
  <c r="D35" i="92"/>
  <c r="D37" i="89"/>
  <c r="D37" i="403"/>
  <c r="D35" i="52"/>
  <c r="D35" i="46"/>
  <c r="F52" i="22"/>
  <c r="D39" i="402"/>
  <c r="F53" i="22"/>
  <c r="D34" i="35"/>
  <c r="R10" i="22"/>
  <c r="S10" i="22" s="1"/>
  <c r="D36" i="457" l="1"/>
  <c r="E36" i="457" s="1"/>
  <c r="G36" i="457" s="1"/>
  <c r="H39" i="457" s="1"/>
  <c r="G12" i="457" s="1"/>
  <c r="H18" i="457" s="1"/>
  <c r="D34" i="455"/>
  <c r="E34" i="455" s="1"/>
  <c r="G34" i="455" s="1"/>
  <c r="H38" i="455" s="1"/>
  <c r="G12" i="455" s="1"/>
  <c r="H18" i="455" s="1"/>
  <c r="H40" i="455" s="1"/>
  <c r="D34" i="456"/>
  <c r="E34" i="456" s="1"/>
  <c r="G34" i="456" s="1"/>
  <c r="H38" i="456" s="1"/>
  <c r="G12" i="456" s="1"/>
  <c r="H18" i="456" s="1"/>
  <c r="H40" i="456" s="1"/>
  <c r="D34" i="454"/>
  <c r="E34" i="454" s="1"/>
  <c r="G34" i="454" s="1"/>
  <c r="H38" i="454" s="1"/>
  <c r="G12" i="454" s="1"/>
  <c r="H18" i="454" s="1"/>
  <c r="H40" i="454" s="1"/>
  <c r="D34" i="101"/>
  <c r="E34" i="101" s="1"/>
  <c r="G34" i="101" s="1"/>
  <c r="D35" i="109"/>
  <c r="E35" i="109" s="1"/>
  <c r="G35" i="109" s="1"/>
  <c r="D36" i="108"/>
  <c r="E36" i="108" s="1"/>
  <c r="G36" i="108" s="1"/>
  <c r="D35" i="104"/>
  <c r="E35" i="104" s="1"/>
  <c r="G35" i="104" s="1"/>
  <c r="D34" i="108"/>
  <c r="D36" i="105"/>
  <c r="E36" i="105" s="1"/>
  <c r="G36" i="105" s="1"/>
  <c r="D36" i="104"/>
  <c r="E36" i="104" s="1"/>
  <c r="G36" i="104" s="1"/>
  <c r="D34" i="111"/>
  <c r="E34" i="111" s="1"/>
  <c r="G34" i="111" s="1"/>
  <c r="G34" i="448"/>
  <c r="G34" i="451"/>
  <c r="D35" i="453"/>
  <c r="E35" i="453" s="1"/>
  <c r="G35" i="453" s="1"/>
  <c r="H38" i="453" s="1"/>
  <c r="G12" i="453" s="1"/>
  <c r="H18" i="453" s="1"/>
  <c r="H40" i="453" s="1"/>
  <c r="D35" i="451"/>
  <c r="E35" i="451" s="1"/>
  <c r="G35" i="451" s="1"/>
  <c r="D35" i="450"/>
  <c r="E35" i="450" s="1"/>
  <c r="G35" i="450" s="1"/>
  <c r="H38" i="450" s="1"/>
  <c r="G12" i="450" s="1"/>
  <c r="H18" i="450" s="1"/>
  <c r="H40" i="450" s="1"/>
  <c r="D35" i="452"/>
  <c r="E35" i="452" s="1"/>
  <c r="G35" i="452" s="1"/>
  <c r="H38" i="452" s="1"/>
  <c r="G12" i="452" s="1"/>
  <c r="H18" i="452" s="1"/>
  <c r="H40" i="452" s="1"/>
  <c r="D35" i="449"/>
  <c r="E35" i="449" s="1"/>
  <c r="G35" i="449" s="1"/>
  <c r="H38" i="449" s="1"/>
  <c r="G12" i="449" s="1"/>
  <c r="H18" i="449" s="1"/>
  <c r="H40" i="449" s="1"/>
  <c r="D35" i="448"/>
  <c r="E35" i="448" s="1"/>
  <c r="G35" i="448" s="1"/>
  <c r="D35" i="327"/>
  <c r="E35" i="327" s="1"/>
  <c r="G35" i="327" s="1"/>
  <c r="D35" i="443"/>
  <c r="E35" i="443" s="1"/>
  <c r="G35" i="443" s="1"/>
  <c r="H38" i="443" s="1"/>
  <c r="G12" i="443" s="1"/>
  <c r="H17" i="443" s="1"/>
  <c r="H40" i="443" s="1"/>
  <c r="D35" i="446"/>
  <c r="E35" i="446" s="1"/>
  <c r="G35" i="446" s="1"/>
  <c r="H38" i="446" s="1"/>
  <c r="G12" i="446" s="1"/>
  <c r="H18" i="446" s="1"/>
  <c r="H40" i="446" s="1"/>
  <c r="D35" i="442"/>
  <c r="E35" i="442" s="1"/>
  <c r="G35" i="442" s="1"/>
  <c r="H38" i="442" s="1"/>
  <c r="G12" i="442" s="1"/>
  <c r="H17" i="442" s="1"/>
  <c r="H40" i="442" s="1"/>
  <c r="D35" i="444"/>
  <c r="E35" i="444" s="1"/>
  <c r="G35" i="444" s="1"/>
  <c r="H38" i="444" s="1"/>
  <c r="G12" i="444" s="1"/>
  <c r="H17" i="444" s="1"/>
  <c r="H40" i="444" s="1"/>
  <c r="D35" i="445"/>
  <c r="E35" i="445" s="1"/>
  <c r="G35" i="445" s="1"/>
  <c r="H38" i="445" s="1"/>
  <c r="G12" i="445" s="1"/>
  <c r="H17" i="445" s="1"/>
  <c r="H40" i="445" s="1"/>
  <c r="D35" i="447"/>
  <c r="E35" i="447" s="1"/>
  <c r="G35" i="447" s="1"/>
  <c r="H38" i="447" s="1"/>
  <c r="G12" i="447" s="1"/>
  <c r="H18" i="447" s="1"/>
  <c r="H40" i="447" s="1"/>
  <c r="D35" i="305"/>
  <c r="E35" i="305" s="1"/>
  <c r="G35" i="305" s="1"/>
  <c r="D43" i="437"/>
  <c r="E43" i="437" s="1"/>
  <c r="G43" i="437" s="1"/>
  <c r="D39" i="437"/>
  <c r="E39" i="437" s="1"/>
  <c r="G39" i="437" s="1"/>
  <c r="D40" i="437"/>
  <c r="E40" i="437" s="1"/>
  <c r="G40" i="437" s="1"/>
  <c r="D37" i="437"/>
  <c r="E37" i="437" s="1"/>
  <c r="G37" i="437" s="1"/>
  <c r="D42" i="437"/>
  <c r="E42" i="437" s="1"/>
  <c r="G42" i="437" s="1"/>
  <c r="D41" i="437"/>
  <c r="E41" i="437" s="1"/>
  <c r="G41" i="437" s="1"/>
  <c r="D38" i="437"/>
  <c r="E38" i="437" s="1"/>
  <c r="G38" i="437" s="1"/>
  <c r="D34" i="440"/>
  <c r="E34" i="440" s="1"/>
  <c r="G34" i="440" s="1"/>
  <c r="H38" i="440" s="1"/>
  <c r="G12" i="440" s="1"/>
  <c r="H18" i="440" s="1"/>
  <c r="H40" i="440" s="1"/>
  <c r="G43" i="440" s="1"/>
  <c r="D37" i="436"/>
  <c r="E37" i="436" s="1"/>
  <c r="G37" i="436" s="1"/>
  <c r="D38" i="434"/>
  <c r="E38" i="434" s="1"/>
  <c r="G38" i="434" s="1"/>
  <c r="D41" i="290"/>
  <c r="E41" i="290" s="1"/>
  <c r="G41" i="290" s="1"/>
  <c r="D39" i="289"/>
  <c r="E39" i="289" s="1"/>
  <c r="G39" i="289" s="1"/>
  <c r="D35" i="289"/>
  <c r="E35" i="289" s="1"/>
  <c r="G35" i="289" s="1"/>
  <c r="D38" i="288"/>
  <c r="E38" i="288" s="1"/>
  <c r="G38" i="288" s="1"/>
  <c r="D34" i="288"/>
  <c r="E34" i="288" s="1"/>
  <c r="G34" i="288" s="1"/>
  <c r="D40" i="435"/>
  <c r="E40" i="435" s="1"/>
  <c r="G40" i="435" s="1"/>
  <c r="D36" i="435"/>
  <c r="E36" i="435" s="1"/>
  <c r="G36" i="435" s="1"/>
  <c r="D39" i="433"/>
  <c r="E39" i="433" s="1"/>
  <c r="G39" i="433" s="1"/>
  <c r="D35" i="433"/>
  <c r="E35" i="433" s="1"/>
  <c r="G35" i="433" s="1"/>
  <c r="D38" i="432"/>
  <c r="E38" i="432" s="1"/>
  <c r="G38" i="432" s="1"/>
  <c r="D34" i="432"/>
  <c r="E34" i="432" s="1"/>
  <c r="G34" i="432" s="1"/>
  <c r="D37" i="292"/>
  <c r="E37" i="292" s="1"/>
  <c r="G37" i="292" s="1"/>
  <c r="D42" i="291"/>
  <c r="E42" i="291" s="1"/>
  <c r="G42" i="291" s="1"/>
  <c r="D38" i="291"/>
  <c r="E38" i="291" s="1"/>
  <c r="G38" i="291" s="1"/>
  <c r="D40" i="290"/>
  <c r="E40" i="290" s="1"/>
  <c r="G40" i="290" s="1"/>
  <c r="D40" i="288"/>
  <c r="E40" i="288" s="1"/>
  <c r="G40" i="288" s="1"/>
  <c r="D34" i="435"/>
  <c r="E34" i="435" s="1"/>
  <c r="G34" i="435" s="1"/>
  <c r="D40" i="432"/>
  <c r="E40" i="432" s="1"/>
  <c r="G40" i="432" s="1"/>
  <c r="D39" i="292"/>
  <c r="E39" i="292" s="1"/>
  <c r="G39" i="292" s="1"/>
  <c r="D40" i="291"/>
  <c r="E40" i="291" s="1"/>
  <c r="G40" i="291" s="1"/>
  <c r="D35" i="434"/>
  <c r="E35" i="434" s="1"/>
  <c r="G35" i="434" s="1"/>
  <c r="D40" i="289"/>
  <c r="E40" i="289" s="1"/>
  <c r="G40" i="289" s="1"/>
  <c r="D36" i="289"/>
  <c r="E36" i="289" s="1"/>
  <c r="G36" i="289" s="1"/>
  <c r="D39" i="288"/>
  <c r="E39" i="288" s="1"/>
  <c r="G39" i="288" s="1"/>
  <c r="D35" i="288"/>
  <c r="E35" i="288" s="1"/>
  <c r="G35" i="288" s="1"/>
  <c r="D37" i="435"/>
  <c r="E37" i="435" s="1"/>
  <c r="G37" i="435" s="1"/>
  <c r="D40" i="433"/>
  <c r="E40" i="433" s="1"/>
  <c r="G40" i="433" s="1"/>
  <c r="D36" i="433"/>
  <c r="E36" i="433" s="1"/>
  <c r="G36" i="433" s="1"/>
  <c r="D39" i="432"/>
  <c r="E39" i="432" s="1"/>
  <c r="G39" i="432" s="1"/>
  <c r="D35" i="432"/>
  <c r="E35" i="432" s="1"/>
  <c r="G35" i="432" s="1"/>
  <c r="D38" i="292"/>
  <c r="E38" i="292" s="1"/>
  <c r="G38" i="292" s="1"/>
  <c r="D34" i="292"/>
  <c r="E34" i="292" s="1"/>
  <c r="G34" i="292" s="1"/>
  <c r="D39" i="291"/>
  <c r="E39" i="291" s="1"/>
  <c r="G39" i="291" s="1"/>
  <c r="D42" i="290"/>
  <c r="E42" i="290" s="1"/>
  <c r="G42" i="290" s="1"/>
  <c r="D36" i="436"/>
  <c r="E36" i="436" s="1"/>
  <c r="G36" i="436" s="1"/>
  <c r="D37" i="434"/>
  <c r="E37" i="434" s="1"/>
  <c r="G37" i="434" s="1"/>
  <c r="D39" i="290"/>
  <c r="E39" i="290" s="1"/>
  <c r="G39" i="290" s="1"/>
  <c r="D38" i="289"/>
  <c r="E38" i="289" s="1"/>
  <c r="G38" i="289" s="1"/>
  <c r="D34" i="289"/>
  <c r="E34" i="289" s="1"/>
  <c r="G34" i="289" s="1"/>
  <c r="D37" i="288"/>
  <c r="E37" i="288" s="1"/>
  <c r="G37" i="288" s="1"/>
  <c r="D39" i="435"/>
  <c r="E39" i="435" s="1"/>
  <c r="G39" i="435" s="1"/>
  <c r="D35" i="435"/>
  <c r="E35" i="435" s="1"/>
  <c r="G35" i="435" s="1"/>
  <c r="D38" i="433"/>
  <c r="E38" i="433" s="1"/>
  <c r="G38" i="433" s="1"/>
  <c r="D34" i="433"/>
  <c r="E34" i="433" s="1"/>
  <c r="G34" i="433" s="1"/>
  <c r="D37" i="432"/>
  <c r="E37" i="432" s="1"/>
  <c r="G37" i="432" s="1"/>
  <c r="D40" i="292"/>
  <c r="E40" i="292" s="1"/>
  <c r="G40" i="292" s="1"/>
  <c r="D36" i="292"/>
  <c r="E36" i="292" s="1"/>
  <c r="G36" i="292" s="1"/>
  <c r="D41" i="291"/>
  <c r="E41" i="291" s="1"/>
  <c r="G41" i="291" s="1"/>
  <c r="D37" i="291"/>
  <c r="E37" i="291" s="1"/>
  <c r="G37" i="291" s="1"/>
  <c r="D38" i="290"/>
  <c r="E38" i="290" s="1"/>
  <c r="G38" i="290" s="1"/>
  <c r="D36" i="434"/>
  <c r="E36" i="434" s="1"/>
  <c r="G36" i="434" s="1"/>
  <c r="D37" i="290"/>
  <c r="E37" i="290" s="1"/>
  <c r="G37" i="290" s="1"/>
  <c r="D37" i="289"/>
  <c r="E37" i="289" s="1"/>
  <c r="G37" i="289" s="1"/>
  <c r="D36" i="288"/>
  <c r="E36" i="288" s="1"/>
  <c r="G36" i="288" s="1"/>
  <c r="D38" i="435"/>
  <c r="E38" i="435" s="1"/>
  <c r="G38" i="435" s="1"/>
  <c r="D37" i="433"/>
  <c r="E37" i="433" s="1"/>
  <c r="G37" i="433" s="1"/>
  <c r="D36" i="432"/>
  <c r="E36" i="432" s="1"/>
  <c r="G36" i="432" s="1"/>
  <c r="D35" i="292"/>
  <c r="E35" i="292" s="1"/>
  <c r="G35" i="292" s="1"/>
  <c r="D36" i="291"/>
  <c r="E36" i="291" s="1"/>
  <c r="G36" i="291" s="1"/>
  <c r="D36" i="290"/>
  <c r="E36" i="290" s="1"/>
  <c r="G36" i="290" s="1"/>
  <c r="D35" i="436"/>
  <c r="E35" i="436" s="1"/>
  <c r="G35" i="436" s="1"/>
  <c r="D34" i="436"/>
  <c r="E34" i="436" s="1"/>
  <c r="G34" i="436" s="1"/>
  <c r="D33" i="322"/>
  <c r="E33" i="322" s="1"/>
  <c r="G33" i="322" s="1"/>
  <c r="D33" i="321"/>
  <c r="E33" i="321" s="1"/>
  <c r="G33" i="321" s="1"/>
  <c r="D34" i="441"/>
  <c r="E34" i="441" s="1"/>
  <c r="G34" i="441" s="1"/>
  <c r="H38" i="441" s="1"/>
  <c r="G12" i="441" s="1"/>
  <c r="H18" i="441" s="1"/>
  <c r="H40" i="441" s="1"/>
  <c r="D33" i="438"/>
  <c r="E33" i="438" s="1"/>
  <c r="G33" i="438" s="1"/>
  <c r="H37" i="438" s="1"/>
  <c r="G12" i="438" s="1"/>
  <c r="H17" i="438" s="1"/>
  <c r="H39" i="438" s="1"/>
  <c r="D34" i="277"/>
  <c r="F54" i="22"/>
  <c r="D35" i="362"/>
  <c r="D35" i="350"/>
  <c r="D34" i="250"/>
  <c r="D33" i="224"/>
  <c r="D33" i="181"/>
  <c r="D34" i="204"/>
  <c r="D33" i="225"/>
  <c r="D34" i="281"/>
  <c r="D33" i="221"/>
  <c r="D34" i="162"/>
  <c r="D34" i="261"/>
  <c r="D34" i="163"/>
  <c r="D34" i="382"/>
  <c r="D34" i="257"/>
  <c r="D34" i="211"/>
  <c r="D34" i="378"/>
  <c r="D34" i="183"/>
  <c r="D34" i="205"/>
  <c r="D35" i="358"/>
  <c r="D34" i="245"/>
  <c r="D34" i="153"/>
  <c r="D35" i="424"/>
  <c r="E35" i="424" s="1"/>
  <c r="D35" i="346"/>
  <c r="D33" i="179"/>
  <c r="D34" i="143"/>
  <c r="D35" i="328"/>
  <c r="D34" i="411"/>
  <c r="D34" i="171"/>
  <c r="D34" i="135"/>
  <c r="D34" i="299"/>
  <c r="D34" i="169"/>
  <c r="D33" i="222"/>
  <c r="D34" i="151"/>
  <c r="D34" i="209"/>
  <c r="D34" i="62"/>
  <c r="D34" i="145"/>
  <c r="D34" i="190"/>
  <c r="D35" i="423"/>
  <c r="E35" i="423" s="1"/>
  <c r="D35" i="422"/>
  <c r="E35" i="422" s="1"/>
  <c r="D34" i="194"/>
  <c r="D34" i="133"/>
  <c r="D34" i="193"/>
  <c r="D38" i="401"/>
  <c r="D34" i="165"/>
  <c r="D34" i="185"/>
  <c r="D36" i="92"/>
  <c r="D34" i="246"/>
  <c r="D34" i="189"/>
  <c r="D34" i="127"/>
  <c r="D35" i="421"/>
  <c r="E35" i="421" s="1"/>
  <c r="D35" i="420"/>
  <c r="E35" i="420" s="1"/>
  <c r="D35" i="419"/>
  <c r="E35" i="419" s="1"/>
  <c r="D34" i="248"/>
  <c r="D34" i="125"/>
  <c r="D35" i="329"/>
  <c r="D34" i="122"/>
  <c r="D33" i="123"/>
  <c r="D34" i="335"/>
  <c r="D34" i="107"/>
  <c r="D38" i="403"/>
  <c r="D35" i="349"/>
  <c r="D35" i="397"/>
  <c r="D32" i="74"/>
  <c r="D35" i="351"/>
  <c r="D34" i="51"/>
  <c r="D35" i="418"/>
  <c r="E35" i="418" s="1"/>
  <c r="D34" i="381"/>
  <c r="D33" i="159"/>
  <c r="D34" i="383"/>
  <c r="D34" i="65"/>
  <c r="D34" i="262"/>
  <c r="D35" i="376"/>
  <c r="D34" i="55"/>
  <c r="D33" i="269"/>
  <c r="D34" i="354"/>
  <c r="D34" i="285"/>
  <c r="D36" i="253"/>
  <c r="D34" i="294"/>
  <c r="D33" i="217"/>
  <c r="D34" i="167"/>
  <c r="D34" i="207"/>
  <c r="D34" i="191"/>
  <c r="D34" i="149"/>
  <c r="D34" i="129"/>
  <c r="D36" i="97"/>
  <c r="D31" i="44"/>
  <c r="D34" i="70"/>
  <c r="D34" i="229"/>
  <c r="D34" i="249"/>
  <c r="D35" i="347"/>
  <c r="D34" i="158"/>
  <c r="D35" i="374"/>
  <c r="D35" i="342"/>
  <c r="D34" i="320"/>
  <c r="D34" i="238"/>
  <c r="D33" i="177"/>
  <c r="D33" i="161"/>
  <c r="D34" i="200"/>
  <c r="D34" i="159"/>
  <c r="D34" i="141"/>
  <c r="D34" i="117"/>
  <c r="D38" i="89"/>
  <c r="D34" i="119"/>
  <c r="D34" i="49"/>
  <c r="D34" i="266"/>
  <c r="D34" i="278"/>
  <c r="D34" i="283"/>
  <c r="D35" i="338"/>
  <c r="D35" i="272"/>
  <c r="D35" i="308"/>
  <c r="D34" i="232"/>
  <c r="D34" i="175"/>
  <c r="D33" i="215"/>
  <c r="D34" i="198"/>
  <c r="D34" i="157"/>
  <c r="D34" i="139"/>
  <c r="D33" i="113"/>
  <c r="D34" i="73"/>
  <c r="D33" i="218"/>
  <c r="D34" i="413"/>
  <c r="D34" i="280"/>
  <c r="D35" i="275"/>
  <c r="D35" i="334"/>
  <c r="D33" i="268"/>
  <c r="D33" i="303"/>
  <c r="D34" i="227"/>
  <c r="D34" i="173"/>
  <c r="D33" i="213"/>
  <c r="D34" i="196"/>
  <c r="D34" i="155"/>
  <c r="D34" i="137"/>
  <c r="D34" i="109"/>
  <c r="D34" i="69"/>
  <c r="D36" i="98"/>
  <c r="D33" i="220"/>
  <c r="D33" i="304"/>
  <c r="D34" i="282"/>
  <c r="D34" i="379"/>
  <c r="D34" i="301"/>
  <c r="D34" i="240"/>
  <c r="D34" i="170"/>
  <c r="D34" i="166"/>
  <c r="D34" i="100"/>
  <c r="D34" i="71"/>
  <c r="D33" i="410"/>
  <c r="D34" i="202"/>
  <c r="D34" i="187"/>
  <c r="D34" i="147"/>
  <c r="D34" i="131"/>
  <c r="D34" i="103"/>
  <c r="D34" i="66"/>
  <c r="D33" i="114"/>
  <c r="D34" i="59"/>
  <c r="D33" i="223"/>
  <c r="D35" i="295"/>
  <c r="D36" i="254"/>
  <c r="D34" i="286"/>
  <c r="D35" i="355"/>
  <c r="D33" i="259"/>
  <c r="D34" i="212"/>
  <c r="D35" i="326"/>
  <c r="E35" i="326" s="1"/>
  <c r="G35" i="326" s="1"/>
  <c r="D35" i="325"/>
  <c r="E35" i="325" s="1"/>
  <c r="G35" i="325" s="1"/>
  <c r="D35" i="324"/>
  <c r="E35" i="324" s="1"/>
  <c r="G35" i="324" s="1"/>
  <c r="D34" i="58"/>
  <c r="D34" i="52"/>
  <c r="D33" i="228"/>
  <c r="D34" i="412"/>
  <c r="D34" i="267"/>
  <c r="D35" i="333"/>
  <c r="D34" i="384"/>
  <c r="D34" i="186"/>
  <c r="D34" i="235"/>
  <c r="D35" i="273"/>
  <c r="D35" i="339"/>
  <c r="D35" i="360"/>
  <c r="D33" i="409"/>
  <c r="D34" i="146"/>
  <c r="D34" i="231"/>
  <c r="D34" i="293"/>
  <c r="D35" i="307"/>
  <c r="D36" i="252"/>
  <c r="D34" i="271"/>
  <c r="D34" i="284"/>
  <c r="D35" i="337"/>
  <c r="D35" i="353"/>
  <c r="D33" i="270"/>
  <c r="D34" i="230"/>
  <c r="D33" i="216"/>
  <c r="D34" i="150"/>
  <c r="D34" i="121"/>
  <c r="D34" i="237"/>
  <c r="D34" i="256"/>
  <c r="D35" i="341"/>
  <c r="D35" i="357"/>
  <c r="D34" i="352"/>
  <c r="D35" i="251"/>
  <c r="D33" i="182"/>
  <c r="D34" i="208"/>
  <c r="D34" i="134"/>
  <c r="D35" i="356"/>
  <c r="D34" i="239"/>
  <c r="D34" i="300"/>
  <c r="D34" i="258"/>
  <c r="D35" i="274"/>
  <c r="D35" i="343"/>
  <c r="D35" i="359"/>
  <c r="D35" i="375"/>
  <c r="D35" i="344"/>
  <c r="D33" i="178"/>
  <c r="D34" i="408"/>
  <c r="D34" i="130"/>
  <c r="D34" i="255"/>
  <c r="D34" i="241"/>
  <c r="D34" i="302"/>
  <c r="D34" i="260"/>
  <c r="D34" i="276"/>
  <c r="D35" i="345"/>
  <c r="D35" i="361"/>
  <c r="D34" i="377"/>
  <c r="D35" i="336"/>
  <c r="D35" i="306"/>
  <c r="D34" i="174"/>
  <c r="D34" i="201"/>
  <c r="D34" i="126"/>
  <c r="D34" i="46"/>
  <c r="D34" i="210"/>
  <c r="D34" i="64"/>
  <c r="D34" i="206"/>
  <c r="D34" i="56"/>
  <c r="D34" i="154"/>
  <c r="D34" i="115"/>
  <c r="D34" i="37"/>
  <c r="D33" i="219"/>
  <c r="D33" i="111"/>
  <c r="D33" i="112"/>
  <c r="D34" i="156"/>
  <c r="D34" i="184"/>
  <c r="D34" i="197"/>
  <c r="D34" i="142"/>
  <c r="D36" i="96"/>
  <c r="D35" i="398"/>
  <c r="D34" i="120"/>
  <c r="D35" i="332"/>
  <c r="D34" i="407"/>
  <c r="D34" i="138"/>
  <c r="D38" i="404"/>
  <c r="D38" i="87"/>
  <c r="D34" i="50"/>
  <c r="D34" i="414"/>
  <c r="D33" i="40"/>
  <c r="D34" i="203"/>
  <c r="D34" i="106"/>
  <c r="D34" i="380"/>
  <c r="D34" i="192"/>
  <c r="D34" i="264"/>
  <c r="D34" i="144"/>
  <c r="D34" i="296"/>
  <c r="D34" i="195"/>
  <c r="D38" i="95"/>
  <c r="D35" i="348"/>
  <c r="D34" i="152"/>
  <c r="D33" i="226"/>
  <c r="D35" i="99"/>
  <c r="D34" i="236"/>
  <c r="D34" i="188"/>
  <c r="D34" i="279"/>
  <c r="D34" i="136"/>
  <c r="D33" i="214"/>
  <c r="F48" i="22"/>
  <c r="H48" i="22" s="1"/>
  <c r="H50" i="22" s="1"/>
  <c r="D35" i="340"/>
  <c r="D33" i="176"/>
  <c r="D34" i="148"/>
  <c r="D34" i="116"/>
  <c r="D34" i="247"/>
  <c r="D38" i="88"/>
  <c r="D34" i="128"/>
  <c r="D35" i="105"/>
  <c r="D34" i="67"/>
  <c r="D34" i="287"/>
  <c r="D34" i="168"/>
  <c r="D34" i="140"/>
  <c r="D38" i="94"/>
  <c r="D33" i="180"/>
  <c r="D34" i="124"/>
  <c r="D34" i="172"/>
  <c r="D34" i="57"/>
  <c r="D34" i="399"/>
  <c r="D33" i="160"/>
  <c r="D34" i="132"/>
  <c r="D34" i="63"/>
  <c r="D34" i="164"/>
  <c r="D34" i="72"/>
  <c r="D34" i="53"/>
  <c r="D34" i="199"/>
  <c r="F50" i="22"/>
  <c r="D34" i="334"/>
  <c r="D34" i="332"/>
  <c r="D34" i="328"/>
  <c r="D34" i="333"/>
  <c r="D34" i="329"/>
  <c r="D36" i="244"/>
  <c r="D38" i="402"/>
  <c r="D37" i="96"/>
  <c r="D39" i="94"/>
  <c r="D37" i="97"/>
  <c r="G43" i="454" l="1"/>
  <c r="G45" i="454"/>
  <c r="G44" i="454"/>
  <c r="G45" i="456"/>
  <c r="G43" i="456"/>
  <c r="G44" i="456"/>
  <c r="G45" i="455"/>
  <c r="G44" i="455"/>
  <c r="G43" i="455"/>
  <c r="H38" i="104"/>
  <c r="G35" i="422"/>
  <c r="H38" i="422" s="1"/>
  <c r="G12" i="422" s="1"/>
  <c r="H18" i="422" s="1"/>
  <c r="G35" i="423"/>
  <c r="H38" i="423" s="1"/>
  <c r="G12" i="423" s="1"/>
  <c r="H18" i="423" s="1"/>
  <c r="G35" i="419"/>
  <c r="H38" i="419" s="1"/>
  <c r="G12" i="419" s="1"/>
  <c r="H18" i="419" s="1"/>
  <c r="G35" i="418"/>
  <c r="H38" i="418" s="1"/>
  <c r="G12" i="418" s="1"/>
  <c r="H18" i="418" s="1"/>
  <c r="G35" i="424"/>
  <c r="H38" i="424" s="1"/>
  <c r="G12" i="424" s="1"/>
  <c r="H18" i="424" s="1"/>
  <c r="G35" i="420"/>
  <c r="H38" i="420" s="1"/>
  <c r="G12" i="420" s="1"/>
  <c r="H18" i="420" s="1"/>
  <c r="G35" i="421"/>
  <c r="H38" i="421" s="1"/>
  <c r="G12" i="421" s="1"/>
  <c r="H18" i="421" s="1"/>
  <c r="H38" i="451"/>
  <c r="G12" i="451" s="1"/>
  <c r="H18" i="451" s="1"/>
  <c r="H40" i="451" s="1"/>
  <c r="G43" i="451" s="1"/>
  <c r="H38" i="448"/>
  <c r="G12" i="448" s="1"/>
  <c r="H18" i="448" s="1"/>
  <c r="H40" i="448" s="1"/>
  <c r="G43" i="448" s="1"/>
  <c r="G45" i="452"/>
  <c r="G43" i="452"/>
  <c r="G44" i="452"/>
  <c r="G44" i="450"/>
  <c r="G43" i="450"/>
  <c r="G45" i="450"/>
  <c r="G45" i="453"/>
  <c r="G44" i="453"/>
  <c r="G43" i="453"/>
  <c r="G45" i="449"/>
  <c r="G43" i="449"/>
  <c r="G44" i="449"/>
  <c r="G44" i="444"/>
  <c r="G45" i="444"/>
  <c r="G43" i="444"/>
  <c r="G45" i="445"/>
  <c r="G43" i="445"/>
  <c r="G44" i="445"/>
  <c r="G45" i="442"/>
  <c r="G43" i="442"/>
  <c r="G44" i="442"/>
  <c r="G43" i="446"/>
  <c r="G44" i="446"/>
  <c r="G45" i="446"/>
  <c r="G44" i="443"/>
  <c r="G45" i="443"/>
  <c r="G43" i="443"/>
  <c r="G43" i="447"/>
  <c r="G44" i="447"/>
  <c r="G45" i="447"/>
  <c r="G45" i="440"/>
  <c r="H39" i="434"/>
  <c r="G12" i="434" s="1"/>
  <c r="H16" i="434" s="1"/>
  <c r="H41" i="434" s="1"/>
  <c r="G44" i="434" s="1"/>
  <c r="G44" i="440"/>
  <c r="H44" i="437"/>
  <c r="H43" i="290"/>
  <c r="G12" i="290" s="1"/>
  <c r="H16" i="290" s="1"/>
  <c r="H45" i="290" s="1"/>
  <c r="G49" i="290" s="1"/>
  <c r="H41" i="433"/>
  <c r="G12" i="433" s="1"/>
  <c r="H16" i="433" s="1"/>
  <c r="H43" i="433" s="1"/>
  <c r="H43" i="291"/>
  <c r="G12" i="291" s="1"/>
  <c r="H16" i="291" s="1"/>
  <c r="H45" i="291" s="1"/>
  <c r="G49" i="291" s="1"/>
  <c r="H41" i="432"/>
  <c r="G12" i="432" s="1"/>
  <c r="H16" i="432" s="1"/>
  <c r="H43" i="432" s="1"/>
  <c r="G48" i="432" s="1"/>
  <c r="G44" i="441"/>
  <c r="G45" i="441"/>
  <c r="G43" i="441"/>
  <c r="H41" i="292"/>
  <c r="G12" i="292" s="1"/>
  <c r="H16" i="292" s="1"/>
  <c r="H43" i="292" s="1"/>
  <c r="G48" i="292" s="1"/>
  <c r="H41" i="289"/>
  <c r="G12" i="289" s="1"/>
  <c r="H16" i="289" s="1"/>
  <c r="H43" i="289" s="1"/>
  <c r="H38" i="436"/>
  <c r="G12" i="436" s="1"/>
  <c r="H16" i="436" s="1"/>
  <c r="H40" i="436" s="1"/>
  <c r="G43" i="436" s="1"/>
  <c r="H41" i="435"/>
  <c r="G12" i="435" s="1"/>
  <c r="H16" i="435" s="1"/>
  <c r="H43" i="435" s="1"/>
  <c r="G48" i="435" s="1"/>
  <c r="G42" i="438"/>
  <c r="G44" i="438"/>
  <c r="G43" i="438"/>
  <c r="E206" i="31"/>
  <c r="E21" i="270" s="1"/>
  <c r="E205" i="31"/>
  <c r="E21" i="269" s="1"/>
  <c r="E204" i="31"/>
  <c r="E21" i="268" s="1"/>
  <c r="E202" i="31"/>
  <c r="E21" i="275" s="1"/>
  <c r="E201" i="31"/>
  <c r="E21" i="274" s="1"/>
  <c r="E200" i="31"/>
  <c r="E21" i="273" s="1"/>
  <c r="E199" i="31"/>
  <c r="E21" i="272" s="1"/>
  <c r="E198" i="31"/>
  <c r="E21" i="271" s="1"/>
  <c r="E21" i="423"/>
  <c r="G21" i="423" s="1"/>
  <c r="E21" i="422"/>
  <c r="G21" i="422" s="1"/>
  <c r="E21" i="421"/>
  <c r="G21" i="421" s="1"/>
  <c r="E21" i="420"/>
  <c r="G21" i="420" s="1"/>
  <c r="E21" i="419"/>
  <c r="G21" i="419" s="1"/>
  <c r="H46" i="456" l="1"/>
  <c r="H48" i="456" s="1"/>
  <c r="E332" i="24" s="1"/>
  <c r="G332" i="24" s="1"/>
  <c r="H46" i="455"/>
  <c r="H48" i="455" s="1"/>
  <c r="E331" i="24" s="1"/>
  <c r="G331" i="24" s="1"/>
  <c r="H46" i="454"/>
  <c r="H48" i="454" s="1"/>
  <c r="E330" i="24" s="1"/>
  <c r="G330" i="24" s="1"/>
  <c r="G12" i="437"/>
  <c r="H16" i="437" s="1"/>
  <c r="H46" i="452"/>
  <c r="H48" i="452" s="1"/>
  <c r="E385" i="24" s="1"/>
  <c r="H46" i="453"/>
  <c r="H48" i="453" s="1"/>
  <c r="E386" i="24" s="1"/>
  <c r="H25" i="420"/>
  <c r="H40" i="420" s="1"/>
  <c r="H25" i="421"/>
  <c r="H40" i="421" s="1"/>
  <c r="H25" i="422"/>
  <c r="H40" i="422" s="1"/>
  <c r="H25" i="423"/>
  <c r="H40" i="423" s="1"/>
  <c r="G45" i="448"/>
  <c r="G44" i="451"/>
  <c r="G45" i="451"/>
  <c r="G44" i="448"/>
  <c r="H25" i="419"/>
  <c r="H40" i="419" s="1"/>
  <c r="H46" i="450"/>
  <c r="H48" i="450" s="1"/>
  <c r="E383" i="24" s="1"/>
  <c r="H46" i="445"/>
  <c r="H48" i="445" s="1"/>
  <c r="E355" i="24" s="1"/>
  <c r="H46" i="447"/>
  <c r="H48" i="447" s="1"/>
  <c r="E357" i="24" s="1"/>
  <c r="H46" i="442"/>
  <c r="H48" i="442" s="1"/>
  <c r="E352" i="24" s="1"/>
  <c r="H46" i="449"/>
  <c r="H48" i="449" s="1"/>
  <c r="E382" i="24" s="1"/>
  <c r="H46" i="444"/>
  <c r="H48" i="444" s="1"/>
  <c r="E354" i="24" s="1"/>
  <c r="H46" i="443"/>
  <c r="H48" i="443" s="1"/>
  <c r="E353" i="24" s="1"/>
  <c r="H46" i="446"/>
  <c r="H48" i="446" s="1"/>
  <c r="E356" i="24" s="1"/>
  <c r="H46" i="440"/>
  <c r="H48" i="440" s="1"/>
  <c r="E281" i="24" s="1"/>
  <c r="G44" i="436"/>
  <c r="H46" i="441"/>
  <c r="H48" i="441" s="1"/>
  <c r="E282" i="24" s="1"/>
  <c r="G45" i="436"/>
  <c r="G48" i="291"/>
  <c r="G50" i="291"/>
  <c r="G47" i="435"/>
  <c r="G46" i="435"/>
  <c r="G45" i="434"/>
  <c r="G46" i="434"/>
  <c r="H45" i="438"/>
  <c r="H47" i="438" s="1"/>
  <c r="E316" i="24" s="1"/>
  <c r="G46" i="432"/>
  <c r="G47" i="432"/>
  <c r="G46" i="292"/>
  <c r="G47" i="292"/>
  <c r="G48" i="290"/>
  <c r="G50" i="290"/>
  <c r="G47" i="433"/>
  <c r="G48" i="433"/>
  <c r="G46" i="433"/>
  <c r="G47" i="289"/>
  <c r="G48" i="289"/>
  <c r="G46" i="289"/>
  <c r="E21" i="418"/>
  <c r="G21" i="418" s="1"/>
  <c r="G44" i="423" l="1"/>
  <c r="G43" i="423"/>
  <c r="G45" i="423"/>
  <c r="G45" i="421"/>
  <c r="G44" i="421"/>
  <c r="G43" i="421"/>
  <c r="G44" i="422"/>
  <c r="G43" i="422"/>
  <c r="G45" i="422"/>
  <c r="G44" i="420"/>
  <c r="G43" i="420"/>
  <c r="G45" i="420"/>
  <c r="H46" i="451"/>
  <c r="H48" i="451" s="1"/>
  <c r="E384" i="24" s="1"/>
  <c r="H46" i="448"/>
  <c r="H48" i="448" s="1"/>
  <c r="E381" i="24" s="1"/>
  <c r="G43" i="419"/>
  <c r="G45" i="419"/>
  <c r="G44" i="419"/>
  <c r="H25" i="418"/>
  <c r="H40" i="418" s="1"/>
  <c r="H46" i="436"/>
  <c r="H48" i="436" s="1"/>
  <c r="E314" i="24" s="1"/>
  <c r="H51" i="291"/>
  <c r="H53" i="291" s="1"/>
  <c r="E308" i="24" s="1"/>
  <c r="H49" i="435"/>
  <c r="H51" i="435" s="1"/>
  <c r="E312" i="24" s="1"/>
  <c r="H47" i="434"/>
  <c r="H49" i="434" s="1"/>
  <c r="E313" i="24" s="1"/>
  <c r="H49" i="432"/>
  <c r="H51" i="432" s="1"/>
  <c r="E310" i="24" s="1"/>
  <c r="H49" i="292"/>
  <c r="H51" i="292" s="1"/>
  <c r="E309" i="24" s="1"/>
  <c r="H51" i="290"/>
  <c r="H53" i="290" s="1"/>
  <c r="E307" i="24" s="1"/>
  <c r="H49" i="433"/>
  <c r="H51" i="433" s="1"/>
  <c r="E311" i="24" s="1"/>
  <c r="H49" i="289"/>
  <c r="H51" i="289" s="1"/>
  <c r="E306" i="24" s="1"/>
  <c r="H46" i="421" l="1"/>
  <c r="H48" i="421" s="1"/>
  <c r="E363" i="24" s="1"/>
  <c r="H46" i="423"/>
  <c r="H48" i="423" s="1"/>
  <c r="E365" i="24" s="1"/>
  <c r="H46" i="419"/>
  <c r="H48" i="419" s="1"/>
  <c r="E361" i="24" s="1"/>
  <c r="H46" i="420"/>
  <c r="H48" i="420" s="1"/>
  <c r="E362" i="24" s="1"/>
  <c r="H46" i="422"/>
  <c r="H48" i="422" s="1"/>
  <c r="E364" i="24" s="1"/>
  <c r="G44" i="418"/>
  <c r="G45" i="418"/>
  <c r="G43" i="418"/>
  <c r="H46" i="418" l="1"/>
  <c r="H48" i="418" s="1"/>
  <c r="E360" i="24" s="1"/>
  <c r="H156" i="31"/>
  <c r="H155" i="31"/>
  <c r="H154" i="31"/>
  <c r="H153" i="31"/>
  <c r="H152" i="31"/>
  <c r="H151" i="31"/>
  <c r="H150" i="31"/>
  <c r="H149" i="31"/>
  <c r="H148" i="31"/>
  <c r="H147" i="31"/>
  <c r="H146" i="31"/>
  <c r="G156" i="31"/>
  <c r="G155" i="31"/>
  <c r="G154" i="31"/>
  <c r="G153" i="31"/>
  <c r="G152" i="31"/>
  <c r="G151" i="31"/>
  <c r="G150" i="31"/>
  <c r="G149" i="31"/>
  <c r="G148" i="31"/>
  <c r="G147" i="31"/>
  <c r="G146" i="31"/>
  <c r="F156" i="31"/>
  <c r="F155" i="31"/>
  <c r="F154" i="31"/>
  <c r="F153" i="31"/>
  <c r="F152" i="31"/>
  <c r="F151" i="31"/>
  <c r="F150" i="31"/>
  <c r="F149" i="31"/>
  <c r="F148" i="31"/>
  <c r="F147" i="31"/>
  <c r="F146" i="31"/>
  <c r="E155" i="31" l="1"/>
  <c r="E147" i="31"/>
  <c r="E148" i="31"/>
  <c r="E156" i="31"/>
  <c r="E150" i="31"/>
  <c r="E149" i="31"/>
  <c r="E153" i="31"/>
  <c r="E151" i="31"/>
  <c r="E152" i="31"/>
  <c r="E146" i="31"/>
  <c r="E154" i="31"/>
  <c r="H144" i="31"/>
  <c r="H143" i="31"/>
  <c r="H142" i="31"/>
  <c r="H141" i="31"/>
  <c r="H140" i="31"/>
  <c r="H139" i="31"/>
  <c r="H138" i="31"/>
  <c r="H137" i="31"/>
  <c r="H136" i="31"/>
  <c r="H135" i="31"/>
  <c r="H134" i="31"/>
  <c r="G144" i="31"/>
  <c r="G143" i="31"/>
  <c r="G142" i="31"/>
  <c r="G141" i="31"/>
  <c r="G140" i="31"/>
  <c r="G139" i="31"/>
  <c r="G138" i="31"/>
  <c r="G137" i="31"/>
  <c r="G136" i="31"/>
  <c r="G135" i="31"/>
  <c r="G134" i="31"/>
  <c r="F144" i="31"/>
  <c r="F143" i="31"/>
  <c r="F142" i="31"/>
  <c r="F141" i="31"/>
  <c r="F140" i="31"/>
  <c r="F139" i="31"/>
  <c r="F138" i="31"/>
  <c r="F137" i="31"/>
  <c r="F136" i="31"/>
  <c r="F135" i="31"/>
  <c r="F134" i="31"/>
  <c r="E141" i="31" l="1"/>
  <c r="E140" i="31"/>
  <c r="E134" i="31"/>
  <c r="E142" i="31"/>
  <c r="E144" i="31"/>
  <c r="E135" i="31"/>
  <c r="E136" i="31"/>
  <c r="E143" i="31"/>
  <c r="E137" i="31"/>
  <c r="E138" i="31"/>
  <c r="E139" i="31"/>
  <c r="F45" i="412"/>
  <c r="F44" i="412"/>
  <c r="F43" i="412"/>
  <c r="H31" i="412"/>
  <c r="G22" i="412"/>
  <c r="G21" i="412"/>
  <c r="F45" i="414"/>
  <c r="F44" i="414"/>
  <c r="F43" i="414"/>
  <c r="H31" i="414"/>
  <c r="G22" i="414"/>
  <c r="G21" i="414"/>
  <c r="F45" i="413"/>
  <c r="F44" i="413"/>
  <c r="F43" i="413"/>
  <c r="H31" i="413"/>
  <c r="G22" i="413"/>
  <c r="G21" i="413"/>
  <c r="D4" i="415" l="1"/>
  <c r="E4" i="415" l="1"/>
  <c r="E25" i="437"/>
  <c r="G25" i="437" s="1"/>
  <c r="E13" i="382" l="1"/>
  <c r="G13" i="382" s="1"/>
  <c r="E13" i="362"/>
  <c r="G13" i="362" s="1"/>
  <c r="E13" i="361"/>
  <c r="G13" i="361" s="1"/>
  <c r="E13" i="360"/>
  <c r="G13" i="360" s="1"/>
  <c r="E13" i="383"/>
  <c r="G13" i="383" s="1"/>
  <c r="E13" i="384"/>
  <c r="G13" i="384" s="1"/>
  <c r="E13" i="412"/>
  <c r="F28" i="46" l="1"/>
  <c r="G28" i="46" s="1"/>
  <c r="F28" i="398"/>
  <c r="G28" i="398" s="1"/>
  <c r="F28" i="397"/>
  <c r="G28" i="397" s="1"/>
  <c r="E24" i="413"/>
  <c r="G24" i="413" s="1"/>
  <c r="E24" i="414"/>
  <c r="G24" i="414" s="1"/>
  <c r="F30" i="401" l="1"/>
  <c r="F32" i="95"/>
  <c r="F28" i="101"/>
  <c r="F28" i="100"/>
  <c r="F32" i="94"/>
  <c r="F30" i="403"/>
  <c r="F32" i="89"/>
  <c r="F30" i="87"/>
  <c r="F29" i="97"/>
  <c r="F29" i="92"/>
  <c r="F29" i="404"/>
  <c r="F30" i="92"/>
  <c r="F29" i="402"/>
  <c r="F33" i="88"/>
  <c r="F30" i="404"/>
  <c r="F29" i="96"/>
  <c r="F31" i="88"/>
  <c r="F30" i="97"/>
  <c r="F33" i="89"/>
  <c r="F29" i="401"/>
  <c r="F29" i="403"/>
  <c r="F30" i="402"/>
  <c r="F31" i="89"/>
  <c r="F31" i="95"/>
  <c r="F29" i="87"/>
  <c r="F30" i="96"/>
  <c r="F32" i="88"/>
  <c r="F31" i="94"/>
  <c r="E12" i="35" l="1"/>
  <c r="E21" i="411" l="1"/>
  <c r="G21" i="411" s="1"/>
  <c r="F45" i="411"/>
  <c r="F44" i="411"/>
  <c r="F43" i="411"/>
  <c r="H31" i="411"/>
  <c r="E21" i="349" l="1"/>
  <c r="E21" i="348"/>
  <c r="E21" i="347"/>
  <c r="E21" i="346"/>
  <c r="E14" i="258" l="1"/>
  <c r="G14" i="258" s="1"/>
  <c r="F8" i="38" l="1"/>
  <c r="D8" i="38" s="1"/>
  <c r="E10" i="44" l="1"/>
  <c r="G10" i="44" s="1"/>
  <c r="G13" i="412" l="1"/>
  <c r="C28" i="101" l="1"/>
  <c r="E28" i="101" s="1"/>
  <c r="C28" i="100"/>
  <c r="E28" i="100" s="1"/>
  <c r="G28" i="100" l="1"/>
  <c r="G28" i="101"/>
  <c r="F44" i="410"/>
  <c r="F43" i="410"/>
  <c r="F42" i="410"/>
  <c r="H30" i="410"/>
  <c r="F44" i="409"/>
  <c r="F43" i="409"/>
  <c r="F42" i="409"/>
  <c r="H30" i="409"/>
  <c r="F45" i="408"/>
  <c r="F44" i="408"/>
  <c r="F43" i="408"/>
  <c r="H31" i="408"/>
  <c r="H25" i="408"/>
  <c r="G23" i="302"/>
  <c r="E22" i="302"/>
  <c r="G22" i="302" s="1"/>
  <c r="G23" i="301"/>
  <c r="E22" i="301"/>
  <c r="G22" i="301" s="1"/>
  <c r="G23" i="300"/>
  <c r="E22" i="300"/>
  <c r="G22" i="300" s="1"/>
  <c r="G23" i="299"/>
  <c r="E22" i="259" l="1"/>
  <c r="E22" i="249"/>
  <c r="E15" i="107" l="1"/>
  <c r="G15" i="107" s="1"/>
  <c r="E15" i="106"/>
  <c r="G15" i="106" s="1"/>
  <c r="E13" i="99"/>
  <c r="G13" i="99" s="1"/>
  <c r="E14" i="98"/>
  <c r="G14" i="98" s="1"/>
  <c r="E21" i="266" l="1"/>
  <c r="F45" i="407"/>
  <c r="F44" i="407"/>
  <c r="F43" i="407"/>
  <c r="H31" i="407"/>
  <c r="H25" i="407"/>
  <c r="F45" i="406" l="1"/>
  <c r="F44" i="406"/>
  <c r="F43" i="406"/>
  <c r="H38" i="406"/>
  <c r="H31" i="406"/>
  <c r="H18" i="406"/>
  <c r="E12" i="405"/>
  <c r="G12" i="405" s="1"/>
  <c r="F45" i="405"/>
  <c r="F44" i="405"/>
  <c r="F43" i="405"/>
  <c r="H38" i="405"/>
  <c r="H31" i="405"/>
  <c r="H25" i="405"/>
  <c r="E12" i="187"/>
  <c r="G12" i="187" s="1"/>
  <c r="E12" i="188"/>
  <c r="G12" i="188" s="1"/>
  <c r="E12" i="189"/>
  <c r="G12" i="189" s="1"/>
  <c r="E12" i="173"/>
  <c r="G12" i="173" s="1"/>
  <c r="E12" i="174"/>
  <c r="G12" i="174" s="1"/>
  <c r="E12" i="175"/>
  <c r="G12" i="175" s="1"/>
  <c r="E13" i="182"/>
  <c r="G13" i="182" s="1"/>
  <c r="E13" i="181"/>
  <c r="G13" i="181" s="1"/>
  <c r="E12" i="167"/>
  <c r="G12" i="167" s="1"/>
  <c r="E12" i="168"/>
  <c r="G12" i="168" s="1"/>
  <c r="E13" i="180"/>
  <c r="G13" i="180" s="1"/>
  <c r="E12" i="166"/>
  <c r="G12" i="166" s="1"/>
  <c r="E13" i="179"/>
  <c r="G13" i="179" s="1"/>
  <c r="E13" i="178"/>
  <c r="G13" i="178" s="1"/>
  <c r="E13" i="177"/>
  <c r="G13" i="177" s="1"/>
  <c r="E13" i="176"/>
  <c r="G13" i="176" s="1"/>
  <c r="H18" i="405" l="1"/>
  <c r="H40" i="405" s="1"/>
  <c r="G44" i="405" s="1"/>
  <c r="G43" i="405" l="1"/>
  <c r="G45" i="405"/>
  <c r="H46" i="405" l="1"/>
  <c r="H48" i="405" s="1"/>
  <c r="E13" i="24" s="1"/>
  <c r="E12" i="86"/>
  <c r="G12" i="86" s="1"/>
  <c r="E12" i="85"/>
  <c r="G12" i="85" s="1"/>
  <c r="E12" i="84"/>
  <c r="G12" i="84" s="1"/>
  <c r="E12" i="83"/>
  <c r="G12" i="83" s="1"/>
  <c r="G13" i="24" l="1"/>
  <c r="E13" i="98"/>
  <c r="G13" i="98" s="1"/>
  <c r="F28" i="116"/>
  <c r="F28" i="115"/>
  <c r="E16" i="94" l="1"/>
  <c r="G16" i="94" s="1"/>
  <c r="E22" i="299" l="1"/>
  <c r="E25" i="253"/>
  <c r="G25" i="253" s="1"/>
  <c r="E24" i="252"/>
  <c r="G24" i="252" s="1"/>
  <c r="G22" i="259" l="1"/>
  <c r="E23" i="244"/>
  <c r="G23" i="244" s="1"/>
  <c r="G14" i="71" l="1"/>
  <c r="E22" i="99"/>
  <c r="G22" i="99" s="1"/>
  <c r="E14" i="107" l="1"/>
  <c r="G14" i="107" s="1"/>
  <c r="E14" i="97"/>
  <c r="G14" i="97" s="1"/>
  <c r="E14" i="96"/>
  <c r="G14" i="96" s="1"/>
  <c r="E14" i="95"/>
  <c r="G14" i="95" s="1"/>
  <c r="E14" i="92"/>
  <c r="G14" i="92" s="1"/>
  <c r="E14" i="89"/>
  <c r="G14" i="89" s="1"/>
  <c r="E14" i="88"/>
  <c r="G14" i="88" s="1"/>
  <c r="E14" i="403"/>
  <c r="G14" i="403" s="1"/>
  <c r="E14" i="106"/>
  <c r="G14" i="106" s="1"/>
  <c r="E14" i="402"/>
  <c r="G14" i="402" s="1"/>
  <c r="E14" i="401"/>
  <c r="G14" i="401" s="1"/>
  <c r="E14" i="94"/>
  <c r="G14" i="94" s="1"/>
  <c r="E14" i="404"/>
  <c r="G14" i="404" s="1"/>
  <c r="E21" i="302"/>
  <c r="G21" i="302" s="1"/>
  <c r="H25" i="302" s="1"/>
  <c r="E21" i="301"/>
  <c r="G21" i="301" s="1"/>
  <c r="E21" i="300"/>
  <c r="G21" i="300" s="1"/>
  <c r="E13" i="77"/>
  <c r="G13" i="77" s="1"/>
  <c r="E13" i="81"/>
  <c r="G13" i="81" s="1"/>
  <c r="E13" i="80"/>
  <c r="G13" i="80" s="1"/>
  <c r="E13" i="85"/>
  <c r="G13" i="85" s="1"/>
  <c r="E13" i="78"/>
  <c r="G13" i="78" s="1"/>
  <c r="E13" i="82"/>
  <c r="G13" i="82" s="1"/>
  <c r="E13" i="79"/>
  <c r="G13" i="79" s="1"/>
  <c r="E13" i="86"/>
  <c r="G13" i="86" s="1"/>
  <c r="E14" i="64"/>
  <c r="G14" i="64" s="1"/>
  <c r="E21" i="298"/>
  <c r="E21" i="299"/>
  <c r="G21" i="299" s="1"/>
  <c r="H39" i="31"/>
  <c r="G39" i="31"/>
  <c r="F39" i="31"/>
  <c r="E39" i="31" s="1"/>
  <c r="E24" i="457" s="1"/>
  <c r="G24" i="457" s="1"/>
  <c r="H26" i="457" s="1"/>
  <c r="G29" i="457" s="1"/>
  <c r="H32" i="457" s="1"/>
  <c r="H41" i="457" s="1"/>
  <c r="G44" i="457" l="1"/>
  <c r="G46" i="457"/>
  <c r="G45" i="457"/>
  <c r="E23" i="437"/>
  <c r="G23" i="437" s="1"/>
  <c r="H26" i="437" s="1"/>
  <c r="H46" i="437" s="1"/>
  <c r="E12" i="102"/>
  <c r="G12" i="102" s="1"/>
  <c r="E13" i="102"/>
  <c r="G13" i="102" s="1"/>
  <c r="E21" i="100"/>
  <c r="H47" i="457" l="1"/>
  <c r="H49" i="457" s="1"/>
  <c r="E333" i="24" s="1"/>
  <c r="G333" i="24" s="1"/>
  <c r="G51" i="437"/>
  <c r="G49" i="437"/>
  <c r="G50" i="437"/>
  <c r="E13" i="70"/>
  <c r="G13" i="70" s="1"/>
  <c r="E13" i="69"/>
  <c r="G13" i="69" s="1"/>
  <c r="E13" i="63"/>
  <c r="G13" i="63" s="1"/>
  <c r="E13" i="62"/>
  <c r="G13" i="62" s="1"/>
  <c r="H52" i="437" l="1"/>
  <c r="H54" i="437" s="1"/>
  <c r="E315" i="24" s="1"/>
  <c r="E23" i="411"/>
  <c r="G23" i="411" s="1"/>
  <c r="E17" i="94"/>
  <c r="G17" i="94" s="1"/>
  <c r="E23" i="259"/>
  <c r="G23" i="259" s="1"/>
  <c r="E24" i="98"/>
  <c r="G24" i="98" s="1"/>
  <c r="E24" i="244"/>
  <c r="G24" i="244" s="1"/>
  <c r="C30" i="97"/>
  <c r="E30" i="97" s="1"/>
  <c r="C29" i="97"/>
  <c r="E29" i="97" s="1"/>
  <c r="E23" i="97"/>
  <c r="G23" i="97" s="1"/>
  <c r="E22" i="97"/>
  <c r="G22" i="97" s="1"/>
  <c r="E15" i="97"/>
  <c r="G15" i="97" s="1"/>
  <c r="E13" i="97"/>
  <c r="G13" i="97" s="1"/>
  <c r="C29" i="402"/>
  <c r="E29" i="402" s="1"/>
  <c r="C30" i="402"/>
  <c r="E30" i="402" s="1"/>
  <c r="C30" i="96"/>
  <c r="E30" i="96" s="1"/>
  <c r="C29" i="96"/>
  <c r="E29" i="96" s="1"/>
  <c r="E23" i="96"/>
  <c r="G23" i="96" s="1"/>
  <c r="E22" i="96"/>
  <c r="G22" i="96" s="1"/>
  <c r="E15" i="96"/>
  <c r="G15" i="96" s="1"/>
  <c r="E13" i="96"/>
  <c r="G13" i="96" s="1"/>
  <c r="C32" i="95"/>
  <c r="E32" i="95" s="1"/>
  <c r="C31" i="95"/>
  <c r="E31" i="95" s="1"/>
  <c r="E23" i="95"/>
  <c r="G23" i="95" s="1"/>
  <c r="E22" i="95"/>
  <c r="G22" i="95" s="1"/>
  <c r="E15" i="95"/>
  <c r="G15" i="95" s="1"/>
  <c r="E13" i="95"/>
  <c r="G13" i="95" s="1"/>
  <c r="C32" i="94"/>
  <c r="E32" i="94" s="1"/>
  <c r="C31" i="94"/>
  <c r="E31" i="94" s="1"/>
  <c r="E24" i="94"/>
  <c r="G24" i="94" s="1"/>
  <c r="E23" i="94"/>
  <c r="G23" i="94" s="1"/>
  <c r="E13" i="94"/>
  <c r="G13" i="94" s="1"/>
  <c r="C30" i="92"/>
  <c r="E30" i="92" s="1"/>
  <c r="C29" i="92"/>
  <c r="E29" i="92" s="1"/>
  <c r="E21" i="92"/>
  <c r="E15" i="92"/>
  <c r="G15" i="92" s="1"/>
  <c r="E13" i="92"/>
  <c r="C33" i="89"/>
  <c r="E33" i="89" s="1"/>
  <c r="C33" i="88"/>
  <c r="E33" i="88" s="1"/>
  <c r="C32" i="89"/>
  <c r="E32" i="89" s="1"/>
  <c r="G32" i="89" s="1"/>
  <c r="C31" i="89"/>
  <c r="E31" i="89" s="1"/>
  <c r="C32" i="88"/>
  <c r="E32" i="88" s="1"/>
  <c r="C31" i="88"/>
  <c r="E31" i="88" s="1"/>
  <c r="C30" i="401"/>
  <c r="E30" i="401" s="1"/>
  <c r="C29" i="401"/>
  <c r="E29" i="401" s="1"/>
  <c r="C30" i="404"/>
  <c r="E30" i="404" s="1"/>
  <c r="C29" i="404"/>
  <c r="E29" i="404" s="1"/>
  <c r="C30" i="403"/>
  <c r="E30" i="403" s="1"/>
  <c r="C29" i="403"/>
  <c r="E29" i="403" s="1"/>
  <c r="C30" i="87"/>
  <c r="E30" i="87" s="1"/>
  <c r="C29" i="87"/>
  <c r="E29" i="87" s="1"/>
  <c r="G29" i="403" l="1"/>
  <c r="G30" i="402"/>
  <c r="G29" i="402"/>
  <c r="G29" i="97"/>
  <c r="G30" i="97"/>
  <c r="G29" i="96"/>
  <c r="G30" i="96"/>
  <c r="G31" i="95"/>
  <c r="G32" i="95"/>
  <c r="G32" i="94"/>
  <c r="G31" i="94"/>
  <c r="G29" i="92"/>
  <c r="G30" i="92"/>
  <c r="G33" i="88"/>
  <c r="G33" i="89"/>
  <c r="G31" i="89"/>
  <c r="G32" i="88"/>
  <c r="G29" i="87"/>
  <c r="G29" i="404"/>
  <c r="G29" i="401"/>
  <c r="G30" i="87"/>
  <c r="G30" i="404"/>
  <c r="G30" i="401"/>
  <c r="G30" i="403"/>
  <c r="G31" i="88"/>
  <c r="E24" i="275"/>
  <c r="G24" i="275" s="1"/>
  <c r="E24" i="274"/>
  <c r="G24" i="274" s="1"/>
  <c r="E24" i="273"/>
  <c r="G24" i="273" s="1"/>
  <c r="E24" i="272"/>
  <c r="G24" i="272" s="1"/>
  <c r="E24" i="271"/>
  <c r="G24" i="271" s="1"/>
  <c r="E23" i="270"/>
  <c r="G23" i="270" s="1"/>
  <c r="H34" i="403" l="1"/>
  <c r="H34" i="402"/>
  <c r="H34" i="88"/>
  <c r="H34" i="94"/>
  <c r="H34" i="95"/>
  <c r="H34" i="87"/>
  <c r="H34" i="404"/>
  <c r="H32" i="92"/>
  <c r="E23" i="269"/>
  <c r="G23" i="269" s="1"/>
  <c r="E23" i="268"/>
  <c r="G23" i="268" s="1"/>
  <c r="F48" i="404" l="1"/>
  <c r="F47" i="404"/>
  <c r="F46" i="404"/>
  <c r="E23" i="404"/>
  <c r="G23" i="404" s="1"/>
  <c r="E22" i="404"/>
  <c r="G22" i="404" s="1"/>
  <c r="E13" i="404"/>
  <c r="G13" i="404" s="1"/>
  <c r="F48" i="403"/>
  <c r="F47" i="403"/>
  <c r="F46" i="403"/>
  <c r="E23" i="403"/>
  <c r="G23" i="403" s="1"/>
  <c r="E22" i="403"/>
  <c r="G22" i="403" s="1"/>
  <c r="E13" i="403"/>
  <c r="G13" i="403" s="1"/>
  <c r="F48" i="402"/>
  <c r="F47" i="402"/>
  <c r="F46" i="402"/>
  <c r="E23" i="402"/>
  <c r="G23" i="402" s="1"/>
  <c r="E22" i="402"/>
  <c r="G22" i="402" s="1"/>
  <c r="E13" i="402"/>
  <c r="G13" i="402" s="1"/>
  <c r="F48" i="401" l="1"/>
  <c r="F47" i="401"/>
  <c r="F46" i="401"/>
  <c r="H34" i="401"/>
  <c r="E23" i="401"/>
  <c r="G23" i="401" s="1"/>
  <c r="E22" i="401"/>
  <c r="G22" i="401" s="1"/>
  <c r="E13" i="401"/>
  <c r="G13" i="401" s="1"/>
  <c r="E23" i="87"/>
  <c r="F44" i="399" l="1"/>
  <c r="F43" i="399"/>
  <c r="F42" i="399"/>
  <c r="H30" i="399"/>
  <c r="E26" i="89"/>
  <c r="G26" i="89" s="1"/>
  <c r="E24" i="325" l="1"/>
  <c r="G24" i="325" s="1"/>
  <c r="E24" i="326"/>
  <c r="G24" i="326" s="1"/>
  <c r="E24" i="327"/>
  <c r="G24" i="327" s="1"/>
  <c r="E23" i="324"/>
  <c r="G23" i="324" s="1"/>
  <c r="G13" i="92"/>
  <c r="E22" i="92"/>
  <c r="E24" i="89"/>
  <c r="E13" i="89"/>
  <c r="G13" i="89" s="1"/>
  <c r="E24" i="88"/>
  <c r="E13" i="88"/>
  <c r="G13" i="88" s="1"/>
  <c r="E13" i="87"/>
  <c r="G13" i="87" s="1"/>
  <c r="E25" i="95"/>
  <c r="E21" i="264"/>
  <c r="E22" i="232" l="1"/>
  <c r="G22" i="232" s="1"/>
  <c r="E22" i="231"/>
  <c r="G22" i="231" s="1"/>
  <c r="E22" i="230"/>
  <c r="G22" i="230" s="1"/>
  <c r="E22" i="229"/>
  <c r="G22" i="229" s="1"/>
  <c r="E22" i="227"/>
  <c r="G22" i="227" s="1"/>
  <c r="E21" i="228"/>
  <c r="G21" i="228" s="1"/>
  <c r="E21" i="226"/>
  <c r="G21" i="226" s="1"/>
  <c r="E23" i="294" l="1"/>
  <c r="G23" i="294" s="1"/>
  <c r="E22" i="294"/>
  <c r="E22" i="293"/>
  <c r="H31" i="35"/>
  <c r="E24" i="295" l="1"/>
  <c r="G24" i="295" s="1"/>
  <c r="E23" i="295"/>
  <c r="E22" i="295"/>
  <c r="E21" i="295"/>
  <c r="G21" i="295" s="1"/>
  <c r="E20" i="399" l="1"/>
  <c r="G20" i="399" s="1"/>
  <c r="E20" i="320"/>
  <c r="E22" i="264"/>
  <c r="F45" i="397"/>
  <c r="F44" i="397"/>
  <c r="F43" i="397"/>
  <c r="H31" i="397"/>
  <c r="E22" i="397"/>
  <c r="G22" i="397" s="1"/>
  <c r="E22" i="398"/>
  <c r="G22" i="398" s="1"/>
  <c r="F45" i="398"/>
  <c r="F44" i="398"/>
  <c r="F43" i="398"/>
  <c r="H31" i="398"/>
  <c r="E12" i="119"/>
  <c r="G12" i="119" s="1"/>
  <c r="E12" i="120"/>
  <c r="G12" i="120" s="1"/>
  <c r="E21" i="294" l="1"/>
  <c r="E21" i="293"/>
  <c r="E21" i="108"/>
  <c r="E21" i="101"/>
  <c r="E23" i="412"/>
  <c r="G23" i="412" s="1"/>
  <c r="H25" i="412" s="1"/>
  <c r="E22" i="411"/>
  <c r="G22" i="411" s="1"/>
  <c r="H25" i="411" s="1"/>
  <c r="E23" i="414"/>
  <c r="G23" i="414" s="1"/>
  <c r="H25" i="414" s="1"/>
  <c r="E23" i="413"/>
  <c r="G23" i="413" s="1"/>
  <c r="H25" i="413" s="1"/>
  <c r="E21" i="259"/>
  <c r="G21" i="259" s="1"/>
  <c r="E15" i="94"/>
  <c r="G15" i="94" s="1"/>
  <c r="E24" i="253"/>
  <c r="G24" i="253" s="1"/>
  <c r="E23" i="98"/>
  <c r="G23" i="98" s="1"/>
  <c r="E22" i="244"/>
  <c r="G22" i="244" s="1"/>
  <c r="E21" i="424"/>
  <c r="G21" i="424" s="1"/>
  <c r="H25" i="424" l="1"/>
  <c r="H40" i="424" s="1"/>
  <c r="G43" i="424" l="1"/>
  <c r="G45" i="424"/>
  <c r="G44" i="424"/>
  <c r="E25" i="98"/>
  <c r="G25" i="98" s="1"/>
  <c r="H46" i="424" l="1"/>
  <c r="H48" i="424" s="1"/>
  <c r="E366" i="24" s="1"/>
  <c r="E26" i="252"/>
  <c r="G26" i="252" s="1"/>
  <c r="E25" i="251"/>
  <c r="E21" i="120"/>
  <c r="G21" i="120" s="1"/>
  <c r="E21" i="119"/>
  <c r="G21" i="119" s="1"/>
  <c r="E22" i="100"/>
  <c r="G22" i="100" s="1"/>
  <c r="E22" i="101"/>
  <c r="G22" i="101" s="1"/>
  <c r="E24" i="95"/>
  <c r="G24" i="95" s="1"/>
  <c r="E24" i="97"/>
  <c r="G24" i="97" s="1"/>
  <c r="E24" i="96"/>
  <c r="G24" i="96" s="1"/>
  <c r="E25" i="94"/>
  <c r="G25" i="94" s="1"/>
  <c r="E24" i="403"/>
  <c r="G24" i="403" s="1"/>
  <c r="E24" i="404"/>
  <c r="G24" i="404" s="1"/>
  <c r="E24" i="402"/>
  <c r="G24" i="402" s="1"/>
  <c r="E24" i="401"/>
  <c r="G24" i="401" s="1"/>
  <c r="E23" i="397"/>
  <c r="G23" i="397" s="1"/>
  <c r="E23" i="398"/>
  <c r="G23" i="398" s="1"/>
  <c r="E22" i="251"/>
  <c r="G22" i="251" s="1"/>
  <c r="E21" i="248"/>
  <c r="E21" i="124"/>
  <c r="E23" i="252"/>
  <c r="G23" i="252" s="1"/>
  <c r="E21" i="125"/>
  <c r="E23" i="253"/>
  <c r="E22" i="125" l="1"/>
  <c r="E22" i="124"/>
  <c r="E23" i="399" l="1"/>
  <c r="G23" i="399" s="1"/>
  <c r="E24" i="324"/>
  <c r="G24" i="324" s="1"/>
  <c r="E23" i="321"/>
  <c r="G23" i="321" s="1"/>
  <c r="E23" i="320"/>
  <c r="G23" i="320" s="1"/>
  <c r="E23" i="325"/>
  <c r="G23" i="325" s="1"/>
  <c r="E23" i="326"/>
  <c r="G23" i="326" s="1"/>
  <c r="E23" i="322"/>
  <c r="G23" i="322" s="1"/>
  <c r="E23" i="327"/>
  <c r="G23" i="327" s="1"/>
  <c r="E21" i="35"/>
  <c r="E21" i="406" l="1"/>
  <c r="G21" i="406" s="1"/>
  <c r="H25" i="406" s="1"/>
  <c r="H40" i="406" s="1"/>
  <c r="G43" i="406" s="1"/>
  <c r="E21" i="116"/>
  <c r="G21" i="116" s="1"/>
  <c r="H25" i="116" s="1"/>
  <c r="E21" i="115"/>
  <c r="G21" i="115" s="1"/>
  <c r="E21" i="50"/>
  <c r="G45" i="406" l="1"/>
  <c r="G44" i="406"/>
  <c r="E178" i="31"/>
  <c r="H46" i="406" l="1"/>
  <c r="H48" i="406" s="1"/>
  <c r="E14" i="24" s="1"/>
  <c r="F196" i="31"/>
  <c r="F195" i="31"/>
  <c r="G196" i="31"/>
  <c r="G14" i="24" l="1"/>
  <c r="E20" i="409"/>
  <c r="G20" i="409" s="1"/>
  <c r="H24" i="409" s="1"/>
  <c r="E20" i="410"/>
  <c r="G20" i="410" s="1"/>
  <c r="H24" i="410" s="1"/>
  <c r="E196" i="31"/>
  <c r="G195" i="31"/>
  <c r="E195" i="31" s="1"/>
  <c r="G12" i="35" l="1"/>
  <c r="E25" i="89" l="1"/>
  <c r="G25" i="89" s="1"/>
  <c r="E23" i="89"/>
  <c r="G23" i="89" s="1"/>
  <c r="G24" i="89"/>
  <c r="E15" i="89"/>
  <c r="G15" i="89" s="1"/>
  <c r="E25" i="88"/>
  <c r="G25" i="88" s="1"/>
  <c r="E23" i="88"/>
  <c r="E22" i="87"/>
  <c r="E215" i="31" l="1"/>
  <c r="E214" i="31"/>
  <c r="E213" i="31"/>
  <c r="E212" i="31"/>
  <c r="E211" i="31"/>
  <c r="E210" i="31"/>
  <c r="E209" i="31"/>
  <c r="E208" i="31"/>
  <c r="E180" i="31"/>
  <c r="E179" i="31"/>
  <c r="E176" i="31"/>
  <c r="E173" i="31"/>
  <c r="E21" i="351"/>
  <c r="E21" i="350"/>
  <c r="C4" i="415" l="1"/>
  <c r="E21" i="325" l="1"/>
  <c r="G21" i="325" s="1"/>
  <c r="J16" i="415"/>
  <c r="L16" i="415" s="1"/>
  <c r="J14" i="415"/>
  <c r="L14" i="415" s="1"/>
  <c r="J10" i="415"/>
  <c r="L10" i="415" s="1"/>
  <c r="J15" i="415"/>
  <c r="L15" i="415" s="1"/>
  <c r="J7" i="415"/>
  <c r="L7" i="415" s="1"/>
  <c r="J6" i="415"/>
  <c r="L6" i="415" s="1"/>
  <c r="J17" i="415"/>
  <c r="L17" i="415" s="1"/>
  <c r="J8" i="415"/>
  <c r="L8" i="415" s="1"/>
  <c r="J12" i="415"/>
  <c r="L12" i="415" s="1"/>
  <c r="J11" i="415"/>
  <c r="L11" i="415" s="1"/>
  <c r="J9" i="415"/>
  <c r="L9" i="415" s="1"/>
  <c r="E22" i="384"/>
  <c r="G22" i="384" s="1"/>
  <c r="E22" i="383"/>
  <c r="G22" i="383" s="1"/>
  <c r="E22" i="382"/>
  <c r="G22" i="382" s="1"/>
  <c r="E22" i="381"/>
  <c r="G22" i="381" s="1"/>
  <c r="E22" i="380"/>
  <c r="G22" i="380" s="1"/>
  <c r="E23" i="275"/>
  <c r="G23" i="275" s="1"/>
  <c r="E23" i="273"/>
  <c r="G23" i="273" s="1"/>
  <c r="E23" i="271"/>
  <c r="G23" i="271" s="1"/>
  <c r="E23" i="274"/>
  <c r="G23" i="274" s="1"/>
  <c r="E23" i="272"/>
  <c r="G23" i="272" s="1"/>
  <c r="E22" i="270"/>
  <c r="G22" i="270" s="1"/>
  <c r="E22" i="269"/>
  <c r="G22" i="269" s="1"/>
  <c r="E22" i="268"/>
  <c r="G22" i="268" s="1"/>
  <c r="E22" i="379"/>
  <c r="G22" i="379" s="1"/>
  <c r="E22" i="377"/>
  <c r="G22" i="377" s="1"/>
  <c r="E22" i="378"/>
  <c r="G22" i="378" s="1"/>
  <c r="E23" i="375"/>
  <c r="G23" i="375" s="1"/>
  <c r="E23" i="374"/>
  <c r="G23" i="374" s="1"/>
  <c r="E22" i="376"/>
  <c r="G22" i="376" s="1"/>
  <c r="E21" i="326"/>
  <c r="G21" i="326" s="1"/>
  <c r="E21" i="324"/>
  <c r="G21" i="324" s="1"/>
  <c r="E22" i="321"/>
  <c r="G22" i="321" s="1"/>
  <c r="E22" i="399"/>
  <c r="G22" i="399" s="1"/>
  <c r="E22" i="327"/>
  <c r="G22" i="327" s="1"/>
  <c r="E22" i="322"/>
  <c r="G22" i="322" s="1"/>
  <c r="E22" i="320"/>
  <c r="G22" i="320" s="1"/>
  <c r="E20" i="374"/>
  <c r="G20" i="374" s="1"/>
  <c r="E21" i="374" l="1"/>
  <c r="G21" i="374" s="1"/>
  <c r="E23" i="92"/>
  <c r="G23" i="92" s="1"/>
  <c r="G22" i="92"/>
  <c r="E26" i="88" l="1"/>
  <c r="G26" i="88" s="1"/>
  <c r="G24" i="88"/>
  <c r="G23" i="88"/>
  <c r="E24" i="87"/>
  <c r="G24" i="87" s="1"/>
  <c r="G23" i="87"/>
  <c r="G22" i="87"/>
  <c r="E21" i="97" l="1"/>
  <c r="G21" i="97" s="1"/>
  <c r="E22" i="94"/>
  <c r="G22" i="94" s="1"/>
  <c r="E21" i="404"/>
  <c r="G21" i="404" s="1"/>
  <c r="E22" i="89"/>
  <c r="G22" i="89" s="1"/>
  <c r="E22" i="88"/>
  <c r="G22" i="88" s="1"/>
  <c r="E21" i="403"/>
  <c r="G21" i="403" s="1"/>
  <c r="E21" i="96"/>
  <c r="G21" i="96" s="1"/>
  <c r="E21" i="95"/>
  <c r="G21" i="95" s="1"/>
  <c r="E20" i="92"/>
  <c r="G20" i="92" s="1"/>
  <c r="E21" i="87"/>
  <c r="G21" i="87" s="1"/>
  <c r="G25" i="87" s="1"/>
  <c r="H26" i="87" s="1"/>
  <c r="E21" i="402"/>
  <c r="G21" i="402" s="1"/>
  <c r="E21" i="401"/>
  <c r="G21" i="401" s="1"/>
  <c r="E21" i="397"/>
  <c r="G21" i="397" s="1"/>
  <c r="E21" i="398"/>
  <c r="G21" i="398" s="1"/>
  <c r="G24" i="398" s="1"/>
  <c r="G25" i="403" l="1"/>
  <c r="H26" i="403" s="1"/>
  <c r="C34" i="413"/>
  <c r="C34" i="412"/>
  <c r="C34" i="414"/>
  <c r="C34" i="411"/>
  <c r="C35" i="355"/>
  <c r="C35" i="375"/>
  <c r="C34" i="377"/>
  <c r="C35" i="374"/>
  <c r="C35" i="353"/>
  <c r="C34" i="352"/>
  <c r="C33" i="268"/>
  <c r="C33" i="259"/>
  <c r="C33" i="410"/>
  <c r="C34" i="408"/>
  <c r="C33" i="409"/>
  <c r="C34" i="407"/>
  <c r="C34" i="302"/>
  <c r="C34" i="301"/>
  <c r="C34" i="300"/>
  <c r="C34" i="299"/>
  <c r="C34" i="58"/>
  <c r="C35" i="244"/>
  <c r="C34" i="57"/>
  <c r="C34" i="152"/>
  <c r="C34" i="142"/>
  <c r="C33" i="160"/>
  <c r="C34" i="134"/>
  <c r="C34" i="52"/>
  <c r="C34" i="51"/>
  <c r="C34" i="298"/>
  <c r="C36" i="254"/>
  <c r="C36" i="253"/>
  <c r="H25" i="398"/>
  <c r="C36" i="98"/>
  <c r="C38" i="402"/>
  <c r="C36" i="96"/>
  <c r="C38" i="401"/>
  <c r="C38" i="95"/>
  <c r="C38" i="94"/>
  <c r="C36" i="97"/>
  <c r="C38" i="404"/>
  <c r="C38" i="88"/>
  <c r="C36" i="92"/>
  <c r="C38" i="89"/>
  <c r="C38" i="403"/>
  <c r="C38" i="87"/>
  <c r="C36" i="252"/>
  <c r="C35" i="99"/>
  <c r="C35" i="251"/>
  <c r="C34" i="46"/>
  <c r="C33" i="40"/>
  <c r="G24" i="397"/>
  <c r="H25" i="397" s="1"/>
  <c r="G25" i="401"/>
  <c r="H26" i="401" s="1"/>
  <c r="G25" i="402"/>
  <c r="H26" i="402" s="1"/>
  <c r="G25" i="96"/>
  <c r="H26" i="96" s="1"/>
  <c r="G25" i="97"/>
  <c r="H26" i="97" s="1"/>
  <c r="G26" i="94"/>
  <c r="H28" i="94" s="1"/>
  <c r="G27" i="89"/>
  <c r="H28" i="89" s="1"/>
  <c r="G27" i="88"/>
  <c r="H28" i="88" s="1"/>
  <c r="G25" i="404"/>
  <c r="H26" i="404" s="1"/>
  <c r="E21" i="254" s="1"/>
  <c r="G21" i="254" s="1"/>
  <c r="C34" i="133"/>
  <c r="C34" i="151"/>
  <c r="C34" i="303"/>
  <c r="C34" i="304"/>
  <c r="C34" i="399"/>
  <c r="C34" i="320"/>
  <c r="C34" i="37"/>
  <c r="C34" i="294"/>
  <c r="C34" i="293"/>
  <c r="C34" i="125"/>
  <c r="C35" i="397"/>
  <c r="C35" i="398"/>
  <c r="E21" i="258" l="1"/>
  <c r="E21" i="256"/>
  <c r="E21" i="257"/>
  <c r="E21" i="255"/>
  <c r="E21" i="253"/>
  <c r="E21" i="251"/>
  <c r="E20" i="259"/>
  <c r="E22" i="252"/>
  <c r="E21" i="252"/>
  <c r="E20" i="251"/>
  <c r="E21" i="262"/>
  <c r="G21" i="262" s="1"/>
  <c r="E21" i="261"/>
  <c r="E21" i="260"/>
  <c r="E20" i="123"/>
  <c r="E25" i="252"/>
  <c r="E24" i="251"/>
  <c r="E21" i="249"/>
  <c r="E21" i="244"/>
  <c r="E21" i="107"/>
  <c r="E21" i="106"/>
  <c r="E21" i="99"/>
  <c r="E21" i="98"/>
  <c r="E22" i="247"/>
  <c r="E21" i="245"/>
  <c r="E22" i="246"/>
  <c r="E21" i="287"/>
  <c r="E21" i="286"/>
  <c r="E21" i="285"/>
  <c r="E21" i="284"/>
  <c r="E21" i="283"/>
  <c r="E21" i="282"/>
  <c r="E21" i="281"/>
  <c r="E21" i="280"/>
  <c r="E21" i="279"/>
  <c r="E21" i="278"/>
  <c r="E21" i="277"/>
  <c r="E21" i="276"/>
  <c r="E23" i="384" l="1"/>
  <c r="G23" i="384" s="1"/>
  <c r="E23" i="383"/>
  <c r="G23" i="383" s="1"/>
  <c r="E23" i="382"/>
  <c r="G23" i="382" s="1"/>
  <c r="E23" i="381"/>
  <c r="G23" i="381" s="1"/>
  <c r="E23" i="379"/>
  <c r="G23" i="379" s="1"/>
  <c r="E23" i="378"/>
  <c r="G23" i="378" s="1"/>
  <c r="E23" i="376"/>
  <c r="G23" i="376" s="1"/>
  <c r="E23" i="380"/>
  <c r="G23" i="380" s="1"/>
  <c r="E23" i="377"/>
  <c r="G23" i="377" s="1"/>
  <c r="E22" i="374"/>
  <c r="G22" i="374" s="1"/>
  <c r="H25" i="374" s="1"/>
  <c r="E22" i="375"/>
  <c r="G22" i="375" s="1"/>
  <c r="E21" i="327"/>
  <c r="G21" i="327" s="1"/>
  <c r="E22" i="325"/>
  <c r="G22" i="325" s="1"/>
  <c r="E21" i="322"/>
  <c r="G21" i="322" s="1"/>
  <c r="E21" i="320"/>
  <c r="G21" i="320" s="1"/>
  <c r="E22" i="326"/>
  <c r="G22" i="326" s="1"/>
  <c r="E22" i="324"/>
  <c r="G22" i="324" s="1"/>
  <c r="E21" i="321"/>
  <c r="G21" i="321" s="1"/>
  <c r="E21" i="399"/>
  <c r="G21" i="399" s="1"/>
  <c r="H24" i="399" s="1"/>
  <c r="C35" i="35" l="1"/>
  <c r="C35" i="414" l="1"/>
  <c r="C35" i="412"/>
  <c r="C35" i="413"/>
  <c r="C34" i="410"/>
  <c r="C35" i="411"/>
  <c r="C35" i="408"/>
  <c r="C34" i="409"/>
  <c r="C35" i="407"/>
  <c r="C35" i="302"/>
  <c r="C35" i="301"/>
  <c r="C35" i="300"/>
  <c r="C35" i="299"/>
  <c r="C35" i="296"/>
  <c r="E35" i="296" s="1"/>
  <c r="G35" i="296" s="1"/>
  <c r="C35" i="51"/>
  <c r="C35" i="52"/>
  <c r="C37" i="87"/>
  <c r="C37" i="96"/>
  <c r="C39" i="402"/>
  <c r="C37" i="89"/>
  <c r="C37" i="88"/>
  <c r="C37" i="403"/>
  <c r="C37" i="404"/>
  <c r="C37" i="401"/>
  <c r="C37" i="402"/>
  <c r="C33" i="399"/>
  <c r="C35" i="293"/>
  <c r="C35" i="294"/>
  <c r="C34" i="397"/>
  <c r="C34" i="398"/>
  <c r="C35" i="46"/>
  <c r="C34" i="384"/>
  <c r="C33" i="384"/>
  <c r="C34" i="383"/>
  <c r="C33" i="383"/>
  <c r="C34" i="382"/>
  <c r="C33" i="382"/>
  <c r="C34" i="381"/>
  <c r="C33" i="381"/>
  <c r="C34" i="380"/>
  <c r="C33" i="380"/>
  <c r="C34" i="379"/>
  <c r="C33" i="379"/>
  <c r="C34" i="378"/>
  <c r="C33" i="378"/>
  <c r="C33" i="377"/>
  <c r="C35" i="376"/>
  <c r="C34" i="376"/>
  <c r="C34" i="375"/>
  <c r="C34" i="374"/>
  <c r="C35" i="362"/>
  <c r="C34" i="362"/>
  <c r="C35" i="361"/>
  <c r="C34" i="361"/>
  <c r="C35" i="360"/>
  <c r="C34" i="360"/>
  <c r="C35" i="359"/>
  <c r="C34" i="359"/>
  <c r="C35" i="358"/>
  <c r="C34" i="358"/>
  <c r="C35" i="357"/>
  <c r="C34" i="357"/>
  <c r="C35" i="356"/>
  <c r="C34" i="356"/>
  <c r="C34" i="355"/>
  <c r="C34" i="354"/>
  <c r="C33" i="354"/>
  <c r="C34" i="353"/>
  <c r="C33" i="352"/>
  <c r="C35" i="351"/>
  <c r="C34" i="351"/>
  <c r="C35" i="350"/>
  <c r="C34" i="350"/>
  <c r="C35" i="349"/>
  <c r="C34" i="349"/>
  <c r="C35" i="348"/>
  <c r="C34" i="348"/>
  <c r="C35" i="347"/>
  <c r="C34" i="347"/>
  <c r="C35" i="346"/>
  <c r="C34" i="346"/>
  <c r="C35" i="345"/>
  <c r="C34" i="345"/>
  <c r="C35" i="344"/>
  <c r="C34" i="344"/>
  <c r="C35" i="343"/>
  <c r="C34" i="343"/>
  <c r="C35" i="341"/>
  <c r="C35" i="342"/>
  <c r="C34" i="342"/>
  <c r="C34" i="341"/>
  <c r="C35" i="339"/>
  <c r="C34" i="339"/>
  <c r="E20" i="384" l="1"/>
  <c r="G20" i="384" s="1"/>
  <c r="F44" i="384"/>
  <c r="F43" i="384"/>
  <c r="F42" i="384"/>
  <c r="H30" i="384"/>
  <c r="E20" i="383"/>
  <c r="G20" i="383" s="1"/>
  <c r="F44" i="383"/>
  <c r="F43" i="383"/>
  <c r="F42" i="383"/>
  <c r="H30" i="383"/>
  <c r="H30" i="382"/>
  <c r="E20" i="382"/>
  <c r="G20" i="382" s="1"/>
  <c r="F44" i="382"/>
  <c r="F43" i="382"/>
  <c r="F42" i="382"/>
  <c r="E20" i="381"/>
  <c r="G20" i="381" s="1"/>
  <c r="F44" i="381"/>
  <c r="F43" i="381"/>
  <c r="F42" i="381"/>
  <c r="H30" i="381"/>
  <c r="E20" i="380"/>
  <c r="G20" i="380" s="1"/>
  <c r="F44" i="380"/>
  <c r="F43" i="380"/>
  <c r="F42" i="380"/>
  <c r="H30" i="380"/>
  <c r="E20" i="379"/>
  <c r="G20" i="379" s="1"/>
  <c r="F44" i="379"/>
  <c r="F43" i="379"/>
  <c r="F42" i="379"/>
  <c r="H30" i="379"/>
  <c r="E20" i="378"/>
  <c r="G20" i="378" s="1"/>
  <c r="F44" i="378"/>
  <c r="F43" i="378"/>
  <c r="F42" i="378"/>
  <c r="H30" i="378"/>
  <c r="H30" i="377"/>
  <c r="E20" i="377"/>
  <c r="G20" i="377" s="1"/>
  <c r="F44" i="377"/>
  <c r="F43" i="377"/>
  <c r="F42" i="377"/>
  <c r="H31" i="376"/>
  <c r="E20" i="376"/>
  <c r="G20" i="376" s="1"/>
  <c r="F45" i="376"/>
  <c r="F44" i="376"/>
  <c r="F43" i="376"/>
  <c r="E20" i="375"/>
  <c r="G20" i="375" s="1"/>
  <c r="E21" i="376" l="1"/>
  <c r="G21" i="376" s="1"/>
  <c r="H25" i="376" s="1"/>
  <c r="E21" i="384"/>
  <c r="G21" i="384" s="1"/>
  <c r="H24" i="384" s="1"/>
  <c r="E21" i="383"/>
  <c r="G21" i="383" s="1"/>
  <c r="H24" i="383" s="1"/>
  <c r="E21" i="381"/>
  <c r="G21" i="381" s="1"/>
  <c r="H24" i="381" s="1"/>
  <c r="E21" i="378"/>
  <c r="G21" i="378" s="1"/>
  <c r="H24" i="378" s="1"/>
  <c r="E21" i="377"/>
  <c r="G21" i="377" s="1"/>
  <c r="H24" i="377" s="1"/>
  <c r="E21" i="380"/>
  <c r="G21" i="380" s="1"/>
  <c r="H24" i="380" s="1"/>
  <c r="E21" i="382"/>
  <c r="G21" i="382" s="1"/>
  <c r="H24" i="382" s="1"/>
  <c r="E21" i="375"/>
  <c r="G21" i="375" s="1"/>
  <c r="H25" i="375" s="1"/>
  <c r="E21" i="379"/>
  <c r="G21" i="379" s="1"/>
  <c r="H24" i="379" s="1"/>
  <c r="F45" i="375" l="1"/>
  <c r="F44" i="375"/>
  <c r="F43" i="375"/>
  <c r="H31" i="375"/>
  <c r="F45" i="374" l="1"/>
  <c r="F44" i="374"/>
  <c r="F43" i="374"/>
  <c r="H31" i="374"/>
  <c r="F45" i="362" l="1"/>
  <c r="F44" i="362"/>
  <c r="F43" i="362"/>
  <c r="H31" i="362"/>
  <c r="H25" i="362"/>
  <c r="F45" i="361"/>
  <c r="F44" i="361"/>
  <c r="F43" i="361"/>
  <c r="H31" i="361"/>
  <c r="H25" i="361"/>
  <c r="F45" i="360"/>
  <c r="F44" i="360"/>
  <c r="F43" i="360"/>
  <c r="H31" i="360"/>
  <c r="H25" i="360"/>
  <c r="F45" i="359"/>
  <c r="F44" i="359"/>
  <c r="F43" i="359"/>
  <c r="H31" i="359"/>
  <c r="H25" i="359"/>
  <c r="F45" i="358"/>
  <c r="F44" i="358"/>
  <c r="F43" i="358"/>
  <c r="H31" i="358"/>
  <c r="H25" i="358"/>
  <c r="F45" i="357"/>
  <c r="F44" i="357"/>
  <c r="F43" i="357"/>
  <c r="H31" i="357"/>
  <c r="H25" i="357"/>
  <c r="F45" i="356"/>
  <c r="F44" i="356"/>
  <c r="F43" i="356"/>
  <c r="H31" i="356"/>
  <c r="H25" i="356"/>
  <c r="F45" i="355"/>
  <c r="F44" i="355"/>
  <c r="F43" i="355"/>
  <c r="H31" i="355"/>
  <c r="H25" i="355"/>
  <c r="F44" i="354"/>
  <c r="F43" i="354"/>
  <c r="F42" i="354"/>
  <c r="H30" i="354"/>
  <c r="H24" i="354"/>
  <c r="F45" i="353"/>
  <c r="F44" i="353"/>
  <c r="F43" i="353"/>
  <c r="H31" i="353"/>
  <c r="H25" i="353"/>
  <c r="F44" i="352"/>
  <c r="F43" i="352"/>
  <c r="F42" i="352"/>
  <c r="H30" i="352"/>
  <c r="H24" i="352"/>
  <c r="F45" i="351"/>
  <c r="F44" i="351"/>
  <c r="F43" i="351"/>
  <c r="H31" i="351"/>
  <c r="G21" i="351"/>
  <c r="H25" i="351" s="1"/>
  <c r="F45" i="350"/>
  <c r="F44" i="350"/>
  <c r="F43" i="350"/>
  <c r="H31" i="350"/>
  <c r="G21" i="350"/>
  <c r="H25" i="350" s="1"/>
  <c r="F45" i="349"/>
  <c r="F44" i="349"/>
  <c r="F43" i="349"/>
  <c r="H31" i="349"/>
  <c r="G21" i="349"/>
  <c r="H25" i="349" s="1"/>
  <c r="F45" i="348"/>
  <c r="F44" i="348"/>
  <c r="F43" i="348"/>
  <c r="H31" i="348"/>
  <c r="G21" i="348"/>
  <c r="H25" i="348" s="1"/>
  <c r="F45" i="347"/>
  <c r="F44" i="347"/>
  <c r="F43" i="347"/>
  <c r="H31" i="347"/>
  <c r="G21" i="347"/>
  <c r="H25" i="347" s="1"/>
  <c r="F45" i="346"/>
  <c r="F44" i="346"/>
  <c r="F43" i="346"/>
  <c r="H31" i="346"/>
  <c r="G21" i="346"/>
  <c r="H25" i="346" s="1"/>
  <c r="F45" i="345"/>
  <c r="F44" i="345"/>
  <c r="F43" i="345"/>
  <c r="H31" i="345"/>
  <c r="F45" i="344"/>
  <c r="F44" i="344"/>
  <c r="F43" i="344"/>
  <c r="H31" i="344"/>
  <c r="F45" i="343"/>
  <c r="F44" i="343"/>
  <c r="F43" i="343"/>
  <c r="H31" i="343"/>
  <c r="F45" i="342"/>
  <c r="F44" i="342"/>
  <c r="F43" i="342"/>
  <c r="H31" i="342"/>
  <c r="F45" i="341"/>
  <c r="F44" i="341"/>
  <c r="F43" i="341"/>
  <c r="H31" i="341"/>
  <c r="F45" i="340"/>
  <c r="F44" i="340"/>
  <c r="F43" i="340"/>
  <c r="C35" i="340"/>
  <c r="C34" i="340"/>
  <c r="H31" i="340"/>
  <c r="F45" i="339"/>
  <c r="F44" i="339"/>
  <c r="F43" i="339"/>
  <c r="H31" i="339"/>
  <c r="E35" i="351" l="1"/>
  <c r="E34" i="351"/>
  <c r="E35" i="350"/>
  <c r="E34" i="350"/>
  <c r="E35" i="340"/>
  <c r="G35" i="340" s="1"/>
  <c r="E34" i="340"/>
  <c r="G34" i="340" s="1"/>
  <c r="H38" i="351" l="1"/>
  <c r="H38" i="350"/>
  <c r="H38" i="340"/>
  <c r="G12" i="350" l="1"/>
  <c r="H18" i="350" s="1"/>
  <c r="H40" i="350" s="1"/>
  <c r="G12" i="340"/>
  <c r="H18" i="340" s="1"/>
  <c r="G12" i="351"/>
  <c r="H18" i="351" s="1"/>
  <c r="H40" i="351" s="1"/>
  <c r="G45" i="351" l="1"/>
  <c r="G44" i="351"/>
  <c r="G43" i="351"/>
  <c r="G43" i="350"/>
  <c r="G44" i="350"/>
  <c r="G45" i="350"/>
  <c r="H46" i="350" l="1"/>
  <c r="H48" i="350" s="1"/>
  <c r="E391" i="24" s="1"/>
  <c r="H46" i="351"/>
  <c r="H48" i="351" s="1"/>
  <c r="E392" i="24" s="1"/>
  <c r="F45" i="338"/>
  <c r="F44" i="338"/>
  <c r="F43" i="338"/>
  <c r="C35" i="338"/>
  <c r="C34" i="338"/>
  <c r="H31" i="338"/>
  <c r="F45" i="337"/>
  <c r="F44" i="337"/>
  <c r="F43" i="337"/>
  <c r="C35" i="337"/>
  <c r="C34" i="337"/>
  <c r="H31" i="337"/>
  <c r="F45" i="336"/>
  <c r="F44" i="336"/>
  <c r="F43" i="336"/>
  <c r="C35" i="336"/>
  <c r="C34" i="336"/>
  <c r="H31" i="336"/>
  <c r="F44" i="335"/>
  <c r="F43" i="335"/>
  <c r="F42" i="335"/>
  <c r="C34" i="335"/>
  <c r="C33" i="335"/>
  <c r="H30" i="335"/>
  <c r="F45" i="334"/>
  <c r="F44" i="334"/>
  <c r="F43" i="334"/>
  <c r="C35" i="334"/>
  <c r="C34" i="334"/>
  <c r="H31" i="334"/>
  <c r="F45" i="333"/>
  <c r="F44" i="333"/>
  <c r="F43" i="333"/>
  <c r="C35" i="333"/>
  <c r="C34" i="333"/>
  <c r="H31" i="333"/>
  <c r="F45" i="332"/>
  <c r="F44" i="332"/>
  <c r="F43" i="332"/>
  <c r="C35" i="332"/>
  <c r="C34" i="332"/>
  <c r="H31" i="332"/>
  <c r="E20" i="331"/>
  <c r="G20" i="331" s="1"/>
  <c r="H24" i="331" s="1"/>
  <c r="F44" i="331"/>
  <c r="F43" i="331"/>
  <c r="F42" i="331"/>
  <c r="C33" i="331"/>
  <c r="H30" i="331"/>
  <c r="E20" i="330"/>
  <c r="G20" i="330" s="1"/>
  <c r="H24" i="330" s="1"/>
  <c r="F44" i="330"/>
  <c r="F43" i="330"/>
  <c r="F42" i="330"/>
  <c r="C33" i="330"/>
  <c r="H30" i="330"/>
  <c r="E21" i="329"/>
  <c r="G21" i="329" s="1"/>
  <c r="H25" i="329" s="1"/>
  <c r="F45" i="329"/>
  <c r="F44" i="329"/>
  <c r="F43" i="329"/>
  <c r="C35" i="329"/>
  <c r="C34" i="329"/>
  <c r="H31" i="329"/>
  <c r="E21" i="328"/>
  <c r="G21" i="328" s="1"/>
  <c r="H25" i="328" s="1"/>
  <c r="F45" i="328"/>
  <c r="F44" i="328"/>
  <c r="F43" i="328"/>
  <c r="C35" i="328"/>
  <c r="C34" i="328"/>
  <c r="H31" i="328"/>
  <c r="E20" i="327"/>
  <c r="G20" i="327" s="1"/>
  <c r="H25" i="327" s="1"/>
  <c r="F45" i="327"/>
  <c r="F44" i="327"/>
  <c r="F43" i="327"/>
  <c r="H31" i="327"/>
  <c r="E20" i="326"/>
  <c r="G20" i="326" s="1"/>
  <c r="H25" i="326" s="1"/>
  <c r="F45" i="326"/>
  <c r="F44" i="326"/>
  <c r="F43" i="326"/>
  <c r="H31" i="326"/>
  <c r="G392" i="24" l="1"/>
  <c r="G391" i="24"/>
  <c r="E20" i="325"/>
  <c r="G20" i="325" s="1"/>
  <c r="H25" i="325" s="1"/>
  <c r="E20" i="324"/>
  <c r="G20" i="324" s="1"/>
  <c r="H25" i="324" s="1"/>
  <c r="F45" i="325"/>
  <c r="F44" i="325"/>
  <c r="F43" i="325"/>
  <c r="H31" i="325"/>
  <c r="F45" i="324"/>
  <c r="F44" i="324"/>
  <c r="F43" i="324"/>
  <c r="C34" i="324"/>
  <c r="H31" i="324"/>
  <c r="E20" i="322"/>
  <c r="G20" i="322" s="1"/>
  <c r="H24" i="322" s="1"/>
  <c r="F44" i="322"/>
  <c r="F43" i="322"/>
  <c r="F42" i="322"/>
  <c r="H30" i="322"/>
  <c r="E20" i="321"/>
  <c r="G20" i="321" s="1"/>
  <c r="H24" i="321" s="1"/>
  <c r="F44" i="321"/>
  <c r="F43" i="321"/>
  <c r="F42" i="321"/>
  <c r="H30" i="321"/>
  <c r="F44" i="320"/>
  <c r="F43" i="320"/>
  <c r="F42" i="320"/>
  <c r="C33" i="320"/>
  <c r="H30" i="320"/>
  <c r="G20" i="320"/>
  <c r="H24" i="320" s="1"/>
  <c r="C35" i="308"/>
  <c r="C35" i="307"/>
  <c r="C35" i="306"/>
  <c r="F45" i="308"/>
  <c r="F44" i="308"/>
  <c r="F43" i="308"/>
  <c r="C34" i="308"/>
  <c r="H31" i="308"/>
  <c r="H25" i="308"/>
  <c r="F45" i="307"/>
  <c r="F44" i="307"/>
  <c r="F43" i="307"/>
  <c r="C34" i="307"/>
  <c r="H31" i="307"/>
  <c r="H25" i="307"/>
  <c r="F45" i="306"/>
  <c r="F44" i="306"/>
  <c r="F43" i="306"/>
  <c r="C34" i="306"/>
  <c r="H31" i="306"/>
  <c r="H25" i="306"/>
  <c r="F45" i="305"/>
  <c r="F44" i="305"/>
  <c r="F43" i="305"/>
  <c r="C34" i="305"/>
  <c r="H31" i="305"/>
  <c r="H25" i="305"/>
  <c r="F44" i="304"/>
  <c r="F43" i="304"/>
  <c r="F42" i="304"/>
  <c r="C33" i="304"/>
  <c r="H30" i="304"/>
  <c r="H24" i="304"/>
  <c r="C33" i="303"/>
  <c r="F44" i="303" l="1"/>
  <c r="F43" i="303"/>
  <c r="F42" i="303"/>
  <c r="H30" i="303"/>
  <c r="H24" i="303" l="1"/>
  <c r="G21" i="298" l="1"/>
  <c r="H25" i="298" s="1"/>
  <c r="C36" i="295"/>
  <c r="G23" i="295"/>
  <c r="G22" i="295"/>
  <c r="G22" i="294"/>
  <c r="G21" i="294"/>
  <c r="G21" i="293"/>
  <c r="F45" i="302"/>
  <c r="F44" i="302"/>
  <c r="F43" i="302"/>
  <c r="H31" i="302"/>
  <c r="F45" i="301"/>
  <c r="F44" i="301"/>
  <c r="F43" i="301"/>
  <c r="H31" i="301"/>
  <c r="H25" i="301"/>
  <c r="F45" i="300"/>
  <c r="F44" i="300"/>
  <c r="F43" i="300"/>
  <c r="H31" i="300"/>
  <c r="H25" i="300"/>
  <c r="F45" i="299"/>
  <c r="F44" i="299"/>
  <c r="F43" i="299"/>
  <c r="H31" i="299"/>
  <c r="F45" i="298"/>
  <c r="F44" i="298"/>
  <c r="F43" i="298"/>
  <c r="H31" i="298"/>
  <c r="F45" i="296"/>
  <c r="F44" i="296"/>
  <c r="F43" i="296"/>
  <c r="C34" i="296"/>
  <c r="H31" i="296"/>
  <c r="H25" i="296"/>
  <c r="F46" i="295"/>
  <c r="F45" i="295"/>
  <c r="F44" i="295"/>
  <c r="C35" i="295"/>
  <c r="H32" i="295"/>
  <c r="F45" i="294"/>
  <c r="F44" i="294"/>
  <c r="F43" i="294"/>
  <c r="H31" i="294"/>
  <c r="F45" i="293"/>
  <c r="F44" i="293"/>
  <c r="F43" i="293"/>
  <c r="H31" i="293"/>
  <c r="F48" i="288"/>
  <c r="F47" i="288"/>
  <c r="F46" i="288"/>
  <c r="H31" i="288"/>
  <c r="H23" i="288"/>
  <c r="G21" i="287"/>
  <c r="H25" i="287" s="1"/>
  <c r="F45" i="287"/>
  <c r="F44" i="287"/>
  <c r="F43" i="287"/>
  <c r="C35" i="287"/>
  <c r="C34" i="287"/>
  <c r="H31" i="287"/>
  <c r="G21" i="286"/>
  <c r="H25" i="286" s="1"/>
  <c r="F45" i="286"/>
  <c r="F44" i="286"/>
  <c r="F43" i="286"/>
  <c r="C35" i="286"/>
  <c r="C34" i="286"/>
  <c r="H31" i="286"/>
  <c r="G21" i="285"/>
  <c r="H25" i="285" s="1"/>
  <c r="F45" i="285"/>
  <c r="F44" i="285"/>
  <c r="F43" i="285"/>
  <c r="C35" i="285"/>
  <c r="C34" i="285"/>
  <c r="H31" i="285"/>
  <c r="G21" i="284"/>
  <c r="H25" i="284" s="1"/>
  <c r="F45" i="284"/>
  <c r="F44" i="284"/>
  <c r="F43" i="284"/>
  <c r="C35" i="284"/>
  <c r="C34" i="284"/>
  <c r="H31" i="284"/>
  <c r="G21" i="283"/>
  <c r="H25" i="283" s="1"/>
  <c r="F45" i="283"/>
  <c r="F44" i="283"/>
  <c r="F43" i="283"/>
  <c r="C35" i="283"/>
  <c r="C34" i="283"/>
  <c r="H31" i="283"/>
  <c r="G21" i="282"/>
  <c r="H25" i="282" s="1"/>
  <c r="F45" i="282"/>
  <c r="F44" i="282"/>
  <c r="F43" i="282"/>
  <c r="C35" i="282"/>
  <c r="C34" i="282"/>
  <c r="H31" i="282"/>
  <c r="G21" i="281"/>
  <c r="H25" i="281" s="1"/>
  <c r="F45" i="281"/>
  <c r="F44" i="281"/>
  <c r="F43" i="281"/>
  <c r="C35" i="281"/>
  <c r="C34" i="281"/>
  <c r="H31" i="281"/>
  <c r="G21" i="280"/>
  <c r="H25" i="280" s="1"/>
  <c r="F45" i="280"/>
  <c r="F44" i="280"/>
  <c r="F43" i="280"/>
  <c r="C35" i="280"/>
  <c r="C34" i="280"/>
  <c r="H31" i="280"/>
  <c r="G21" i="279"/>
  <c r="H25" i="279" s="1"/>
  <c r="F45" i="279"/>
  <c r="F44" i="279"/>
  <c r="F43" i="279"/>
  <c r="C35" i="279"/>
  <c r="C34" i="279"/>
  <c r="H31" i="279"/>
  <c r="G21" i="278"/>
  <c r="H25" i="278" s="1"/>
  <c r="F45" i="278"/>
  <c r="F44" i="278"/>
  <c r="F43" i="278"/>
  <c r="C35" i="278"/>
  <c r="C34" i="278"/>
  <c r="H31" i="278"/>
  <c r="G21" i="277"/>
  <c r="H25" i="277" s="1"/>
  <c r="F45" i="277"/>
  <c r="F44" i="277"/>
  <c r="F43" i="277"/>
  <c r="C35" i="277"/>
  <c r="C34" i="277"/>
  <c r="H31" i="277"/>
  <c r="G21" i="276"/>
  <c r="H25" i="276" s="1"/>
  <c r="F45" i="276"/>
  <c r="F44" i="276"/>
  <c r="F43" i="276"/>
  <c r="C35" i="276"/>
  <c r="C34" i="276"/>
  <c r="H31" i="276"/>
  <c r="F46" i="275"/>
  <c r="F45" i="275"/>
  <c r="F44" i="275"/>
  <c r="C36" i="275"/>
  <c r="C35" i="275"/>
  <c r="H32" i="275"/>
  <c r="G21" i="274"/>
  <c r="H26" i="274" s="1"/>
  <c r="F46" i="274"/>
  <c r="F45" i="274"/>
  <c r="F44" i="274"/>
  <c r="C36" i="274"/>
  <c r="C35" i="274"/>
  <c r="H32" i="274"/>
  <c r="G21" i="273"/>
  <c r="H26" i="273" s="1"/>
  <c r="F46" i="273"/>
  <c r="F45" i="273"/>
  <c r="F44" i="273"/>
  <c r="C36" i="273"/>
  <c r="C35" i="273"/>
  <c r="H32" i="273"/>
  <c r="G21" i="272"/>
  <c r="H26" i="272" s="1"/>
  <c r="F46" i="272"/>
  <c r="F45" i="272"/>
  <c r="F44" i="272"/>
  <c r="C36" i="272"/>
  <c r="C35" i="272"/>
  <c r="H32" i="272"/>
  <c r="G21" i="271"/>
  <c r="H25" i="271" s="1"/>
  <c r="F45" i="271"/>
  <c r="F44" i="271"/>
  <c r="F43" i="271"/>
  <c r="C35" i="271"/>
  <c r="C34" i="271"/>
  <c r="H31" i="271"/>
  <c r="G21" i="270"/>
  <c r="H24" i="270" s="1"/>
  <c r="F44" i="270"/>
  <c r="F43" i="270"/>
  <c r="F42" i="270"/>
  <c r="C34" i="270"/>
  <c r="C33" i="270"/>
  <c r="H30" i="270"/>
  <c r="C33" i="269"/>
  <c r="G21" i="269"/>
  <c r="H24" i="269" s="1"/>
  <c r="F44" i="269"/>
  <c r="F43" i="269"/>
  <c r="F42" i="269"/>
  <c r="C34" i="269"/>
  <c r="H30" i="269"/>
  <c r="H25" i="294" l="1"/>
  <c r="H26" i="295"/>
  <c r="G21" i="268"/>
  <c r="H24" i="268" s="1"/>
  <c r="F44" i="268"/>
  <c r="F43" i="268"/>
  <c r="F42" i="268"/>
  <c r="C34" i="268"/>
  <c r="H30" i="268"/>
  <c r="C35" i="267"/>
  <c r="G21" i="267"/>
  <c r="H25" i="267" s="1"/>
  <c r="F45" i="267"/>
  <c r="F44" i="267"/>
  <c r="F43" i="267"/>
  <c r="C34" i="267"/>
  <c r="H31" i="267"/>
  <c r="C34" i="266"/>
  <c r="G21" i="266"/>
  <c r="F45" i="266" l="1"/>
  <c r="F44" i="266"/>
  <c r="F43" i="266"/>
  <c r="H31" i="266"/>
  <c r="H25" i="266"/>
  <c r="G21" i="264"/>
  <c r="F45" i="264"/>
  <c r="F44" i="264"/>
  <c r="F43" i="264"/>
  <c r="H31" i="264"/>
  <c r="G22" i="264"/>
  <c r="F45" i="262"/>
  <c r="F44" i="262"/>
  <c r="F43" i="262"/>
  <c r="C35" i="262"/>
  <c r="C34" i="262"/>
  <c r="H31" i="262"/>
  <c r="E22" i="262"/>
  <c r="G22" i="262" s="1"/>
  <c r="H25" i="262" s="1"/>
  <c r="E22" i="261"/>
  <c r="G22" i="261" s="1"/>
  <c r="H25" i="261" s="1"/>
  <c r="F45" i="261"/>
  <c r="F44" i="261"/>
  <c r="F43" i="261"/>
  <c r="C35" i="261"/>
  <c r="C34" i="261"/>
  <c r="H31" i="261"/>
  <c r="C34" i="260"/>
  <c r="F45" i="260"/>
  <c r="F44" i="260"/>
  <c r="F43" i="260"/>
  <c r="C35" i="260"/>
  <c r="H31" i="260"/>
  <c r="H25" i="260"/>
  <c r="F44" i="259"/>
  <c r="F43" i="259"/>
  <c r="F42" i="259"/>
  <c r="C34" i="259"/>
  <c r="H30" i="259"/>
  <c r="E22" i="258"/>
  <c r="G22" i="258" s="1"/>
  <c r="G12" i="258"/>
  <c r="F45" i="258"/>
  <c r="F44" i="258"/>
  <c r="F43" i="258"/>
  <c r="C35" i="258"/>
  <c r="C34" i="258"/>
  <c r="H31" i="258"/>
  <c r="C34" i="257"/>
  <c r="F45" i="257"/>
  <c r="F44" i="257"/>
  <c r="F43" i="257"/>
  <c r="C35" i="257"/>
  <c r="H31" i="257"/>
  <c r="E22" i="256"/>
  <c r="G22" i="256" s="1"/>
  <c r="F45" i="256"/>
  <c r="F44" i="256"/>
  <c r="F43" i="256"/>
  <c r="C35" i="256"/>
  <c r="C34" i="256"/>
  <c r="H31" i="256"/>
  <c r="E22" i="255"/>
  <c r="G22" i="255" s="1"/>
  <c r="F45" i="255"/>
  <c r="F44" i="255"/>
  <c r="F43" i="255"/>
  <c r="C35" i="255"/>
  <c r="C34" i="255"/>
  <c r="H31" i="255"/>
  <c r="F47" i="254"/>
  <c r="F46" i="254"/>
  <c r="F45" i="254"/>
  <c r="C37" i="254"/>
  <c r="H33" i="254"/>
  <c r="G26" i="253"/>
  <c r="E22" i="253"/>
  <c r="G22" i="253" s="1"/>
  <c r="F47" i="253"/>
  <c r="F46" i="253"/>
  <c r="F45" i="253"/>
  <c r="C37" i="253"/>
  <c r="H33" i="253"/>
  <c r="F47" i="252"/>
  <c r="F46" i="252"/>
  <c r="F45" i="252"/>
  <c r="C37" i="252"/>
  <c r="H33" i="252"/>
  <c r="C36" i="251"/>
  <c r="G25" i="251"/>
  <c r="E23" i="251"/>
  <c r="G23" i="251" s="1"/>
  <c r="F46" i="251"/>
  <c r="F45" i="251"/>
  <c r="F44" i="251"/>
  <c r="H32" i="251"/>
  <c r="G21" i="250"/>
  <c r="F45" i="250"/>
  <c r="F44" i="250"/>
  <c r="F43" i="250"/>
  <c r="C34" i="250"/>
  <c r="H31" i="250"/>
  <c r="G22" i="249"/>
  <c r="G21" i="249"/>
  <c r="F45" i="249"/>
  <c r="F44" i="249"/>
  <c r="F43" i="249"/>
  <c r="H31" i="249"/>
  <c r="G21" i="248"/>
  <c r="F45" i="248"/>
  <c r="F44" i="248"/>
  <c r="F43" i="248"/>
  <c r="C34" i="248"/>
  <c r="H31" i="248"/>
  <c r="F45" i="247"/>
  <c r="F44" i="247"/>
  <c r="F43" i="247"/>
  <c r="C35" i="247"/>
  <c r="C34" i="247"/>
  <c r="H31" i="247"/>
  <c r="G22" i="247"/>
  <c r="E21" i="247"/>
  <c r="G21" i="247" s="1"/>
  <c r="E21" i="246"/>
  <c r="G21" i="246" s="1"/>
  <c r="F45" i="246"/>
  <c r="F44" i="246"/>
  <c r="F43" i="246"/>
  <c r="C35" i="246"/>
  <c r="C34" i="246"/>
  <c r="H31" i="246"/>
  <c r="F45" i="245"/>
  <c r="F44" i="245"/>
  <c r="F43" i="245"/>
  <c r="C35" i="245"/>
  <c r="C34" i="245"/>
  <c r="H31" i="245"/>
  <c r="H25" i="250" l="1"/>
  <c r="H25" i="249"/>
  <c r="H25" i="248"/>
  <c r="H25" i="247"/>
  <c r="G20" i="259" l="1"/>
  <c r="H24" i="259" s="1"/>
  <c r="H25" i="264" l="1"/>
  <c r="G21" i="257"/>
  <c r="H25" i="257" s="1"/>
  <c r="G21" i="258"/>
  <c r="H25" i="258" s="1"/>
  <c r="G21" i="256"/>
  <c r="H25" i="256" s="1"/>
  <c r="F46" i="244" l="1"/>
  <c r="F45" i="244"/>
  <c r="F44" i="244"/>
  <c r="C36" i="244"/>
  <c r="H32" i="244"/>
  <c r="E21" i="241" l="1"/>
  <c r="G21" i="241" s="1"/>
  <c r="H25" i="241" s="1"/>
  <c r="F45" i="241"/>
  <c r="F44" i="241"/>
  <c r="F43" i="241"/>
  <c r="C35" i="241"/>
  <c r="C34" i="241"/>
  <c r="H31" i="241"/>
  <c r="E12" i="241"/>
  <c r="G12" i="241" s="1"/>
  <c r="E21" i="240"/>
  <c r="G21" i="240" s="1"/>
  <c r="H25" i="240" s="1"/>
  <c r="F45" i="240"/>
  <c r="F44" i="240"/>
  <c r="F43" i="240"/>
  <c r="C35" i="240"/>
  <c r="C34" i="240"/>
  <c r="H31" i="240"/>
  <c r="E12" i="240"/>
  <c r="G12" i="240" s="1"/>
  <c r="E21" i="239"/>
  <c r="G21" i="239" s="1"/>
  <c r="H25" i="239" s="1"/>
  <c r="F45" i="239"/>
  <c r="F44" i="239"/>
  <c r="F43" i="239"/>
  <c r="C35" i="239"/>
  <c r="C34" i="239"/>
  <c r="H31" i="239"/>
  <c r="E12" i="239"/>
  <c r="G12" i="239" s="1"/>
  <c r="E21" i="238"/>
  <c r="G21" i="238" s="1"/>
  <c r="H25" i="238" s="1"/>
  <c r="F45" i="238"/>
  <c r="F44" i="238"/>
  <c r="F43" i="238"/>
  <c r="C35" i="238"/>
  <c r="C34" i="238"/>
  <c r="H31" i="238"/>
  <c r="E12" i="238"/>
  <c r="G12" i="238" s="1"/>
  <c r="E21" i="237" l="1"/>
  <c r="G21" i="237" s="1"/>
  <c r="H25" i="237" s="1"/>
  <c r="E12" i="237"/>
  <c r="G12" i="237" s="1"/>
  <c r="F45" i="237"/>
  <c r="F44" i="237"/>
  <c r="F43" i="237"/>
  <c r="C35" i="237"/>
  <c r="C34" i="237"/>
  <c r="H31" i="237"/>
  <c r="E21" i="236"/>
  <c r="G21" i="236" s="1"/>
  <c r="H25" i="236" s="1"/>
  <c r="F45" i="236"/>
  <c r="F44" i="236"/>
  <c r="F43" i="236"/>
  <c r="C35" i="236"/>
  <c r="C34" i="236"/>
  <c r="H31" i="236"/>
  <c r="E21" i="235"/>
  <c r="G21" i="235" s="1"/>
  <c r="H25" i="235" s="1"/>
  <c r="F45" i="235"/>
  <c r="F44" i="235"/>
  <c r="F43" i="235"/>
  <c r="C35" i="235"/>
  <c r="C34" i="235"/>
  <c r="H31" i="235"/>
  <c r="E21" i="232"/>
  <c r="G21" i="232" s="1"/>
  <c r="H25" i="232" s="1"/>
  <c r="F45" i="232"/>
  <c r="F44" i="232"/>
  <c r="F43" i="232"/>
  <c r="C35" i="232"/>
  <c r="C34" i="232"/>
  <c r="H31" i="232"/>
  <c r="E12" i="232"/>
  <c r="G12" i="232" s="1"/>
  <c r="E21" i="231"/>
  <c r="G21" i="231" s="1"/>
  <c r="H25" i="231" s="1"/>
  <c r="F45" i="231"/>
  <c r="F44" i="231"/>
  <c r="F43" i="231"/>
  <c r="C35" i="231"/>
  <c r="C34" i="231"/>
  <c r="H31" i="231"/>
  <c r="E12" i="231"/>
  <c r="G12" i="231" s="1"/>
  <c r="E21" i="230"/>
  <c r="G21" i="230" s="1"/>
  <c r="H25" i="230" s="1"/>
  <c r="F45" i="230"/>
  <c r="F44" i="230"/>
  <c r="F43" i="230"/>
  <c r="C35" i="230"/>
  <c r="C34" i="230"/>
  <c r="H31" i="230"/>
  <c r="E12" i="230"/>
  <c r="G12" i="230" s="1"/>
  <c r="E21" i="229"/>
  <c r="G21" i="229" s="1"/>
  <c r="H25" i="229" s="1"/>
  <c r="F45" i="229"/>
  <c r="F44" i="229"/>
  <c r="F43" i="229"/>
  <c r="C35" i="229"/>
  <c r="C34" i="229"/>
  <c r="H31" i="229"/>
  <c r="E12" i="229"/>
  <c r="G12" i="229" s="1"/>
  <c r="E21" i="227"/>
  <c r="G21" i="227" s="1"/>
  <c r="H25" i="227" s="1"/>
  <c r="E12" i="227"/>
  <c r="G12" i="227" s="1"/>
  <c r="E20" i="228"/>
  <c r="G20" i="228" s="1"/>
  <c r="H24" i="228" s="1"/>
  <c r="F44" i="228"/>
  <c r="F43" i="228"/>
  <c r="F42" i="228"/>
  <c r="C34" i="228"/>
  <c r="C33" i="228"/>
  <c r="H30" i="228"/>
  <c r="F45" i="227"/>
  <c r="F44" i="227"/>
  <c r="F43" i="227"/>
  <c r="C35" i="227"/>
  <c r="C34" i="227"/>
  <c r="H31" i="227"/>
  <c r="E20" i="226"/>
  <c r="G20" i="226" s="1"/>
  <c r="H24" i="226" s="1"/>
  <c r="F44" i="226"/>
  <c r="F43" i="226"/>
  <c r="F42" i="226"/>
  <c r="C34" i="226"/>
  <c r="C33" i="226"/>
  <c r="H30" i="226"/>
  <c r="E20" i="225"/>
  <c r="G20" i="225" s="1"/>
  <c r="H24" i="225" s="1"/>
  <c r="F44" i="225"/>
  <c r="F43" i="225"/>
  <c r="F42" i="225"/>
  <c r="C34" i="225"/>
  <c r="C33" i="225"/>
  <c r="H30" i="225"/>
  <c r="E20" i="224"/>
  <c r="G20" i="224" s="1"/>
  <c r="H24" i="224" s="1"/>
  <c r="F44" i="224"/>
  <c r="F43" i="224"/>
  <c r="F42" i="224"/>
  <c r="C34" i="224"/>
  <c r="C33" i="224"/>
  <c r="H30" i="224"/>
  <c r="C33" i="223"/>
  <c r="E20" i="223"/>
  <c r="G20" i="223" s="1"/>
  <c r="H24" i="223" s="1"/>
  <c r="F44" i="223"/>
  <c r="F43" i="223"/>
  <c r="F42" i="223"/>
  <c r="C34" i="223"/>
  <c r="H30" i="223"/>
  <c r="E20" i="222"/>
  <c r="G20" i="222" s="1"/>
  <c r="H24" i="222" s="1"/>
  <c r="F44" i="222"/>
  <c r="F43" i="222"/>
  <c r="F42" i="222"/>
  <c r="C34" i="222"/>
  <c r="C33" i="222"/>
  <c r="H30" i="222"/>
  <c r="E20" i="221"/>
  <c r="G20" i="221" s="1"/>
  <c r="H24" i="221" s="1"/>
  <c r="F44" i="221"/>
  <c r="F43" i="221"/>
  <c r="F42" i="221"/>
  <c r="C34" i="221"/>
  <c r="C33" i="221"/>
  <c r="H30" i="221"/>
  <c r="C33" i="220"/>
  <c r="E20" i="220"/>
  <c r="G20" i="220" s="1"/>
  <c r="H24" i="220" s="1"/>
  <c r="F44" i="220"/>
  <c r="F43" i="220"/>
  <c r="F42" i="220"/>
  <c r="C34" i="220"/>
  <c r="H30" i="220"/>
  <c r="E20" i="219"/>
  <c r="G20" i="219" s="1"/>
  <c r="H24" i="219" s="1"/>
  <c r="F44" i="219"/>
  <c r="F43" i="219"/>
  <c r="F42" i="219"/>
  <c r="C34" i="219"/>
  <c r="C33" i="219"/>
  <c r="H30" i="219"/>
  <c r="E20" i="218"/>
  <c r="G20" i="218" s="1"/>
  <c r="H24" i="218" s="1"/>
  <c r="F44" i="218"/>
  <c r="F43" i="218"/>
  <c r="F42" i="218"/>
  <c r="C34" i="218"/>
  <c r="C33" i="218"/>
  <c r="H30" i="218"/>
  <c r="C33" i="217"/>
  <c r="E20" i="217"/>
  <c r="G20" i="217" s="1"/>
  <c r="H24" i="217" s="1"/>
  <c r="F44" i="217"/>
  <c r="F43" i="217"/>
  <c r="F42" i="217"/>
  <c r="C34" i="217"/>
  <c r="H30" i="217"/>
  <c r="E20" i="216"/>
  <c r="G20" i="216" s="1"/>
  <c r="H24" i="216" s="1"/>
  <c r="F44" i="216"/>
  <c r="F43" i="216"/>
  <c r="F42" i="216"/>
  <c r="C34" i="216"/>
  <c r="C33" i="216"/>
  <c r="H30" i="216"/>
  <c r="E20" i="215"/>
  <c r="G20" i="215" s="1"/>
  <c r="H24" i="215" s="1"/>
  <c r="F44" i="215"/>
  <c r="F43" i="215"/>
  <c r="F42" i="215"/>
  <c r="C34" i="215"/>
  <c r="C33" i="215"/>
  <c r="H30" i="215"/>
  <c r="E20" i="214"/>
  <c r="G20" i="214" s="1"/>
  <c r="H24" i="214" s="1"/>
  <c r="F44" i="214"/>
  <c r="F43" i="214"/>
  <c r="F42" i="214"/>
  <c r="C34" i="214"/>
  <c r="C33" i="214"/>
  <c r="H30" i="214"/>
  <c r="C33" i="213"/>
  <c r="E20" i="213" l="1"/>
  <c r="G20" i="213" s="1"/>
  <c r="H24" i="213" s="1"/>
  <c r="F44" i="213"/>
  <c r="F43" i="213"/>
  <c r="F42" i="213"/>
  <c r="C34" i="213"/>
  <c r="H30" i="213"/>
  <c r="F45" i="212"/>
  <c r="F44" i="212"/>
  <c r="F43" i="212"/>
  <c r="C35" i="212"/>
  <c r="C34" i="212"/>
  <c r="H31" i="212"/>
  <c r="H25" i="212"/>
  <c r="E12" i="212"/>
  <c r="G12" i="212" s="1"/>
  <c r="F45" i="211"/>
  <c r="F44" i="211"/>
  <c r="F43" i="211"/>
  <c r="C35" i="211"/>
  <c r="C34" i="211"/>
  <c r="H31" i="211"/>
  <c r="H25" i="211"/>
  <c r="E12" i="211"/>
  <c r="G12" i="211" s="1"/>
  <c r="E12" i="210"/>
  <c r="G12" i="210" s="1"/>
  <c r="F45" i="210"/>
  <c r="F44" i="210"/>
  <c r="F43" i="210"/>
  <c r="C35" i="210"/>
  <c r="C34" i="210"/>
  <c r="H31" i="210"/>
  <c r="H25" i="210"/>
  <c r="F45" i="209"/>
  <c r="F44" i="209"/>
  <c r="F43" i="209"/>
  <c r="C35" i="209"/>
  <c r="C34" i="209"/>
  <c r="H31" i="209"/>
  <c r="H25" i="209"/>
  <c r="F45" i="208"/>
  <c r="F44" i="208"/>
  <c r="F43" i="208"/>
  <c r="C35" i="208"/>
  <c r="C34" i="208"/>
  <c r="H31" i="208"/>
  <c r="H25" i="208"/>
  <c r="F45" i="207"/>
  <c r="F44" i="207"/>
  <c r="F43" i="207"/>
  <c r="C35" i="207"/>
  <c r="C34" i="207"/>
  <c r="H31" i="207"/>
  <c r="H25" i="207"/>
  <c r="F45" i="206"/>
  <c r="F44" i="206"/>
  <c r="F43" i="206"/>
  <c r="C35" i="206"/>
  <c r="C34" i="206"/>
  <c r="H31" i="206"/>
  <c r="H25" i="206"/>
  <c r="C34" i="205"/>
  <c r="F45" i="205"/>
  <c r="F44" i="205"/>
  <c r="F43" i="205"/>
  <c r="C35" i="205"/>
  <c r="H31" i="205"/>
  <c r="H25" i="205"/>
  <c r="F45" i="204"/>
  <c r="F44" i="204"/>
  <c r="F43" i="204"/>
  <c r="C35" i="204"/>
  <c r="C34" i="204"/>
  <c r="H31" i="204"/>
  <c r="H25" i="204"/>
  <c r="F45" i="203"/>
  <c r="F44" i="203"/>
  <c r="F43" i="203"/>
  <c r="C35" i="203"/>
  <c r="C34" i="203"/>
  <c r="H31" i="203"/>
  <c r="H25" i="203"/>
  <c r="C34" i="202"/>
  <c r="F45" i="202"/>
  <c r="F44" i="202"/>
  <c r="F43" i="202"/>
  <c r="C35" i="202"/>
  <c r="H31" i="202"/>
  <c r="H25" i="202"/>
  <c r="F45" i="201"/>
  <c r="F44" i="201"/>
  <c r="F43" i="201"/>
  <c r="C35" i="201"/>
  <c r="C34" i="201"/>
  <c r="H31" i="201"/>
  <c r="H25" i="201"/>
  <c r="E12" i="201"/>
  <c r="G12" i="201" s="1"/>
  <c r="F45" i="200"/>
  <c r="F44" i="200"/>
  <c r="F43" i="200"/>
  <c r="C35" i="200"/>
  <c r="C34" i="200"/>
  <c r="H31" i="200"/>
  <c r="H25" i="200"/>
  <c r="E12" i="200"/>
  <c r="G12" i="200" s="1"/>
  <c r="E12" i="199"/>
  <c r="G12" i="199" s="1"/>
  <c r="F45" i="199"/>
  <c r="F44" i="199"/>
  <c r="F43" i="199"/>
  <c r="C35" i="199"/>
  <c r="C34" i="199"/>
  <c r="H31" i="199"/>
  <c r="H25" i="199"/>
  <c r="F45" i="198"/>
  <c r="F44" i="198"/>
  <c r="F43" i="198"/>
  <c r="C35" i="198"/>
  <c r="C34" i="198"/>
  <c r="H31" i="198"/>
  <c r="H25" i="198"/>
  <c r="F45" i="197"/>
  <c r="F44" i="197"/>
  <c r="F43" i="197"/>
  <c r="C35" i="197"/>
  <c r="C34" i="197"/>
  <c r="H31" i="197"/>
  <c r="H25" i="197"/>
  <c r="F45" i="196"/>
  <c r="F44" i="196"/>
  <c r="F43" i="196"/>
  <c r="C35" i="196"/>
  <c r="C34" i="196"/>
  <c r="H31" i="196"/>
  <c r="H25" i="196"/>
  <c r="F45" i="195"/>
  <c r="F44" i="195"/>
  <c r="F43" i="195"/>
  <c r="C35" i="195"/>
  <c r="C34" i="195"/>
  <c r="H31" i="195"/>
  <c r="H25" i="195"/>
  <c r="C34" i="194"/>
  <c r="F45" i="194"/>
  <c r="F44" i="194"/>
  <c r="F43" i="194"/>
  <c r="C35" i="194"/>
  <c r="H31" i="194"/>
  <c r="H25" i="194"/>
  <c r="F45" i="193"/>
  <c r="F44" i="193"/>
  <c r="F43" i="193"/>
  <c r="C35" i="193"/>
  <c r="C34" i="193"/>
  <c r="H31" i="193"/>
  <c r="G21" i="193"/>
  <c r="H25" i="193" s="1"/>
  <c r="H25" i="191"/>
  <c r="F45" i="192"/>
  <c r="F44" i="192"/>
  <c r="F43" i="192"/>
  <c r="C35" i="192"/>
  <c r="C34" i="192"/>
  <c r="H31" i="192"/>
  <c r="H25" i="192"/>
  <c r="C34" i="191"/>
  <c r="C34" i="190"/>
  <c r="F45" i="191"/>
  <c r="F44" i="191"/>
  <c r="F43" i="191"/>
  <c r="C35" i="191"/>
  <c r="H31" i="191"/>
  <c r="F45" i="190"/>
  <c r="F44" i="190"/>
  <c r="F43" i="190"/>
  <c r="C35" i="190"/>
  <c r="H31" i="190"/>
  <c r="H25" i="190"/>
  <c r="E21" i="189"/>
  <c r="G21" i="189" s="1"/>
  <c r="H25" i="189" s="1"/>
  <c r="F45" i="189"/>
  <c r="F44" i="189"/>
  <c r="F43" i="189"/>
  <c r="C35" i="189"/>
  <c r="C34" i="189"/>
  <c r="H31" i="189"/>
  <c r="E21" i="188"/>
  <c r="G21" i="188" s="1"/>
  <c r="H25" i="188" s="1"/>
  <c r="F45" i="188"/>
  <c r="F44" i="188"/>
  <c r="F43" i="188"/>
  <c r="C35" i="188"/>
  <c r="C34" i="188"/>
  <c r="H31" i="188"/>
  <c r="E21" i="187"/>
  <c r="G21" i="187" s="1"/>
  <c r="H25" i="187" s="1"/>
  <c r="F45" i="187"/>
  <c r="F44" i="187"/>
  <c r="F43" i="187"/>
  <c r="C35" i="187"/>
  <c r="C34" i="187"/>
  <c r="H31" i="187"/>
  <c r="E21" i="186"/>
  <c r="G21" i="186" s="1"/>
  <c r="H25" i="186" s="1"/>
  <c r="F45" i="186"/>
  <c r="F44" i="186"/>
  <c r="F43" i="186"/>
  <c r="C35" i="186"/>
  <c r="C34" i="186"/>
  <c r="H31" i="186"/>
  <c r="E12" i="186"/>
  <c r="G12" i="186" s="1"/>
  <c r="E21" i="185"/>
  <c r="G21" i="185" s="1"/>
  <c r="H25" i="185" s="1"/>
  <c r="F45" i="185"/>
  <c r="F44" i="185"/>
  <c r="F43" i="185"/>
  <c r="C35" i="185"/>
  <c r="C34" i="185"/>
  <c r="H31" i="185"/>
  <c r="E12" i="185"/>
  <c r="G12" i="185" s="1"/>
  <c r="E21" i="184"/>
  <c r="G21" i="184" s="1"/>
  <c r="H25" i="184" s="1"/>
  <c r="F45" i="184"/>
  <c r="F44" i="184"/>
  <c r="F43" i="184"/>
  <c r="C35" i="184"/>
  <c r="C34" i="184"/>
  <c r="H31" i="184"/>
  <c r="E12" i="184"/>
  <c r="G12" i="184" s="1"/>
  <c r="E21" i="183"/>
  <c r="G21" i="183" s="1"/>
  <c r="H25" i="183" s="1"/>
  <c r="E12" i="183"/>
  <c r="G12" i="183" s="1"/>
  <c r="F45" i="183"/>
  <c r="F44" i="183"/>
  <c r="F43" i="183"/>
  <c r="C35" i="183"/>
  <c r="C34" i="183"/>
  <c r="H31" i="183"/>
  <c r="E20" i="182"/>
  <c r="F44" i="182"/>
  <c r="F43" i="182"/>
  <c r="F42" i="182"/>
  <c r="C34" i="182"/>
  <c r="C33" i="182"/>
  <c r="H30" i="182"/>
  <c r="E20" i="181"/>
  <c r="E20" i="180"/>
  <c r="F44" i="181"/>
  <c r="F43" i="181"/>
  <c r="F42" i="181"/>
  <c r="C34" i="181"/>
  <c r="C33" i="181"/>
  <c r="H30" i="181"/>
  <c r="H30" i="180"/>
  <c r="F44" i="180"/>
  <c r="F43" i="180"/>
  <c r="F42" i="180"/>
  <c r="C34" i="180"/>
  <c r="C33" i="180"/>
  <c r="E20" i="179"/>
  <c r="F44" i="179"/>
  <c r="F43" i="179"/>
  <c r="F42" i="179"/>
  <c r="C34" i="179"/>
  <c r="C33" i="179"/>
  <c r="H30" i="179"/>
  <c r="E20" i="178"/>
  <c r="F44" i="178"/>
  <c r="F43" i="178"/>
  <c r="F42" i="178"/>
  <c r="C34" i="178"/>
  <c r="C33" i="178"/>
  <c r="H30" i="178"/>
  <c r="G20" i="179" l="1"/>
  <c r="H24" i="179" s="1"/>
  <c r="G20" i="180"/>
  <c r="H24" i="180" s="1"/>
  <c r="G20" i="178"/>
  <c r="H24" i="178" s="1"/>
  <c r="G20" i="182"/>
  <c r="H24" i="182" s="1"/>
  <c r="G20" i="181"/>
  <c r="H24" i="181" s="1"/>
  <c r="E20" i="177"/>
  <c r="F44" i="177"/>
  <c r="F43" i="177"/>
  <c r="F42" i="177"/>
  <c r="C34" i="177"/>
  <c r="C33" i="177"/>
  <c r="H30" i="177"/>
  <c r="E20" i="176"/>
  <c r="F44" i="176"/>
  <c r="F43" i="176"/>
  <c r="F42" i="176"/>
  <c r="C34" i="176"/>
  <c r="C33" i="176"/>
  <c r="H30" i="176"/>
  <c r="F45" i="175"/>
  <c r="F44" i="175"/>
  <c r="F43" i="175"/>
  <c r="C35" i="175"/>
  <c r="C34" i="175"/>
  <c r="H31" i="175"/>
  <c r="H25" i="175"/>
  <c r="F45" i="174"/>
  <c r="F44" i="174"/>
  <c r="F43" i="174"/>
  <c r="C35" i="174"/>
  <c r="C34" i="174"/>
  <c r="H31" i="174"/>
  <c r="H25" i="174"/>
  <c r="F45" i="173"/>
  <c r="F44" i="173"/>
  <c r="F43" i="173"/>
  <c r="C35" i="173"/>
  <c r="C34" i="173"/>
  <c r="H31" i="173"/>
  <c r="H25" i="173"/>
  <c r="F45" i="172"/>
  <c r="F44" i="172"/>
  <c r="F43" i="172"/>
  <c r="C35" i="172"/>
  <c r="C34" i="172"/>
  <c r="H31" i="172"/>
  <c r="H25" i="172"/>
  <c r="E12" i="172"/>
  <c r="G12" i="172" s="1"/>
  <c r="F45" i="171"/>
  <c r="F44" i="171"/>
  <c r="F43" i="171"/>
  <c r="C35" i="171"/>
  <c r="C34" i="171"/>
  <c r="H31" i="171"/>
  <c r="H25" i="171"/>
  <c r="E12" i="171"/>
  <c r="G12" i="171" s="1"/>
  <c r="F45" i="170"/>
  <c r="F44" i="170"/>
  <c r="F43" i="170"/>
  <c r="C35" i="170"/>
  <c r="C34" i="170"/>
  <c r="H31" i="170"/>
  <c r="H25" i="170"/>
  <c r="E12" i="170"/>
  <c r="G12" i="170" s="1"/>
  <c r="E12" i="169"/>
  <c r="G12" i="169" s="1"/>
  <c r="F45" i="169"/>
  <c r="F44" i="169"/>
  <c r="F43" i="169"/>
  <c r="C35" i="169"/>
  <c r="C34" i="169"/>
  <c r="H31" i="169"/>
  <c r="H25" i="169"/>
  <c r="F45" i="168"/>
  <c r="F44" i="168"/>
  <c r="F43" i="168"/>
  <c r="C35" i="168"/>
  <c r="C34" i="168"/>
  <c r="H31" i="168"/>
  <c r="H25" i="168"/>
  <c r="F45" i="167"/>
  <c r="F44" i="167"/>
  <c r="F43" i="167"/>
  <c r="C35" i="167"/>
  <c r="C34" i="167"/>
  <c r="H31" i="167"/>
  <c r="H25" i="167"/>
  <c r="F45" i="166"/>
  <c r="F44" i="166"/>
  <c r="F43" i="166"/>
  <c r="C35" i="166"/>
  <c r="C34" i="166"/>
  <c r="H31" i="166"/>
  <c r="H25" i="166"/>
  <c r="F45" i="165"/>
  <c r="F44" i="165"/>
  <c r="F43" i="165"/>
  <c r="C35" i="165"/>
  <c r="C34" i="165"/>
  <c r="H31" i="165"/>
  <c r="H25" i="165"/>
  <c r="E12" i="165"/>
  <c r="G12" i="165" s="1"/>
  <c r="F45" i="164"/>
  <c r="F44" i="164"/>
  <c r="F43" i="164"/>
  <c r="C35" i="164"/>
  <c r="C34" i="164"/>
  <c r="H31" i="164"/>
  <c r="H25" i="164"/>
  <c r="E12" i="164"/>
  <c r="G12" i="164" s="1"/>
  <c r="F45" i="163"/>
  <c r="F44" i="163"/>
  <c r="F43" i="163"/>
  <c r="C35" i="163"/>
  <c r="C34" i="163"/>
  <c r="H31" i="163"/>
  <c r="H25" i="163"/>
  <c r="E12" i="163"/>
  <c r="G12" i="163" s="1"/>
  <c r="E12" i="162"/>
  <c r="G12" i="162" s="1"/>
  <c r="F45" i="162"/>
  <c r="F44" i="162"/>
  <c r="F43" i="162"/>
  <c r="C35" i="162"/>
  <c r="C34" i="162"/>
  <c r="H31" i="162"/>
  <c r="H25" i="162"/>
  <c r="F44" i="161"/>
  <c r="F43" i="161"/>
  <c r="F42" i="161"/>
  <c r="C34" i="161"/>
  <c r="C33" i="161"/>
  <c r="H30" i="161"/>
  <c r="H24" i="161"/>
  <c r="E13" i="161"/>
  <c r="G13" i="161" s="1"/>
  <c r="F44" i="160"/>
  <c r="F43" i="160"/>
  <c r="F42" i="160"/>
  <c r="C34" i="160"/>
  <c r="H30" i="160"/>
  <c r="H24" i="160"/>
  <c r="E13" i="160"/>
  <c r="G13" i="160" s="1"/>
  <c r="E13" i="159"/>
  <c r="G13" i="159" s="1"/>
  <c r="F44" i="159"/>
  <c r="F43" i="159"/>
  <c r="F42" i="159"/>
  <c r="C34" i="159"/>
  <c r="C33" i="159"/>
  <c r="H30" i="159"/>
  <c r="H24" i="159"/>
  <c r="F45" i="158"/>
  <c r="F44" i="158"/>
  <c r="F43" i="158"/>
  <c r="C35" i="158"/>
  <c r="C34" i="158"/>
  <c r="H31" i="158"/>
  <c r="H25" i="158"/>
  <c r="F45" i="157"/>
  <c r="F44" i="157"/>
  <c r="F43" i="157"/>
  <c r="C35" i="157"/>
  <c r="C34" i="157"/>
  <c r="H31" i="157"/>
  <c r="H25" i="157"/>
  <c r="F45" i="156"/>
  <c r="F44" i="156"/>
  <c r="F43" i="156"/>
  <c r="C35" i="156"/>
  <c r="C34" i="156"/>
  <c r="H31" i="156"/>
  <c r="H25" i="156"/>
  <c r="F45" i="155"/>
  <c r="F44" i="155"/>
  <c r="F43" i="155"/>
  <c r="C35" i="155"/>
  <c r="C34" i="155"/>
  <c r="H31" i="155"/>
  <c r="H25" i="155"/>
  <c r="F45" i="154"/>
  <c r="F44" i="154"/>
  <c r="F43" i="154"/>
  <c r="C35" i="154"/>
  <c r="C34" i="154"/>
  <c r="H31" i="154"/>
  <c r="H25" i="154"/>
  <c r="C34" i="153"/>
  <c r="F45" i="153"/>
  <c r="F44" i="153"/>
  <c r="F43" i="153"/>
  <c r="C35" i="153"/>
  <c r="H31" i="153"/>
  <c r="H25" i="153"/>
  <c r="F45" i="152"/>
  <c r="F44" i="152"/>
  <c r="F43" i="152"/>
  <c r="C35" i="152"/>
  <c r="H31" i="152"/>
  <c r="H25" i="152"/>
  <c r="F45" i="151"/>
  <c r="F44" i="151"/>
  <c r="F43" i="151"/>
  <c r="C35" i="151"/>
  <c r="H31" i="151"/>
  <c r="H25" i="151"/>
  <c r="F45" i="150"/>
  <c r="F44" i="150"/>
  <c r="F43" i="150"/>
  <c r="C35" i="150"/>
  <c r="C34" i="150"/>
  <c r="H31" i="150"/>
  <c r="H25" i="150"/>
  <c r="F45" i="149"/>
  <c r="F44" i="149"/>
  <c r="F43" i="149"/>
  <c r="C35" i="149"/>
  <c r="C34" i="149"/>
  <c r="H31" i="149"/>
  <c r="H25" i="149"/>
  <c r="F45" i="148"/>
  <c r="F44" i="148"/>
  <c r="F43" i="148"/>
  <c r="C35" i="148"/>
  <c r="C34" i="148"/>
  <c r="H31" i="148"/>
  <c r="H25" i="148"/>
  <c r="F45" i="147"/>
  <c r="F44" i="147"/>
  <c r="F43" i="147"/>
  <c r="C35" i="147"/>
  <c r="C34" i="147"/>
  <c r="H31" i="147"/>
  <c r="H25" i="147"/>
  <c r="F45" i="146"/>
  <c r="F44" i="146"/>
  <c r="F43" i="146"/>
  <c r="C35" i="146"/>
  <c r="C34" i="146"/>
  <c r="H31" i="146"/>
  <c r="H25" i="146"/>
  <c r="F45" i="145"/>
  <c r="F44" i="145"/>
  <c r="F43" i="145"/>
  <c r="C35" i="145"/>
  <c r="C34" i="145"/>
  <c r="H31" i="145"/>
  <c r="H25" i="145"/>
  <c r="C34" i="144"/>
  <c r="F45" i="144"/>
  <c r="F44" i="144"/>
  <c r="F43" i="144"/>
  <c r="C35" i="144"/>
  <c r="H31" i="144"/>
  <c r="H25" i="144"/>
  <c r="E21" i="143"/>
  <c r="F45" i="143"/>
  <c r="F44" i="143"/>
  <c r="F43" i="143"/>
  <c r="C35" i="143"/>
  <c r="C34" i="143"/>
  <c r="H31" i="143"/>
  <c r="E12" i="143"/>
  <c r="G12" i="143" s="1"/>
  <c r="E21" i="142"/>
  <c r="F45" i="142"/>
  <c r="F44" i="142"/>
  <c r="F43" i="142"/>
  <c r="C35" i="142"/>
  <c r="H31" i="142"/>
  <c r="E12" i="142"/>
  <c r="G12" i="142" s="1"/>
  <c r="E21" i="141"/>
  <c r="E12" i="141"/>
  <c r="G12" i="141" s="1"/>
  <c r="F45" i="141"/>
  <c r="F44" i="141"/>
  <c r="F43" i="141"/>
  <c r="C35" i="141"/>
  <c r="C34" i="141"/>
  <c r="H31" i="141"/>
  <c r="E21" i="140"/>
  <c r="F45" i="140"/>
  <c r="F44" i="140"/>
  <c r="F43" i="140"/>
  <c r="C35" i="140"/>
  <c r="C34" i="140"/>
  <c r="H31" i="140"/>
  <c r="E21" i="139"/>
  <c r="F45" i="139"/>
  <c r="F44" i="139"/>
  <c r="F43" i="139"/>
  <c r="C35" i="139"/>
  <c r="C34" i="139"/>
  <c r="H31" i="139"/>
  <c r="E21" i="138"/>
  <c r="F45" i="138"/>
  <c r="F44" i="138"/>
  <c r="F43" i="138"/>
  <c r="C35" i="138"/>
  <c r="C34" i="138"/>
  <c r="H31" i="138"/>
  <c r="E21" i="137"/>
  <c r="E21" i="136"/>
  <c r="F45" i="137"/>
  <c r="F44" i="137"/>
  <c r="F43" i="137"/>
  <c r="C35" i="137"/>
  <c r="C34" i="137"/>
  <c r="H31" i="137"/>
  <c r="F45" i="136"/>
  <c r="F44" i="136"/>
  <c r="F43" i="136"/>
  <c r="C35" i="136"/>
  <c r="C35" i="135"/>
  <c r="C34" i="136"/>
  <c r="H31" i="136"/>
  <c r="C34" i="135"/>
  <c r="E21" i="135"/>
  <c r="F45" i="135"/>
  <c r="F44" i="135"/>
  <c r="F43" i="135"/>
  <c r="H31" i="135"/>
  <c r="E21" i="134"/>
  <c r="F45" i="134"/>
  <c r="F44" i="134"/>
  <c r="F43" i="134"/>
  <c r="C35" i="134"/>
  <c r="H31" i="134"/>
  <c r="E21" i="133"/>
  <c r="F45" i="133"/>
  <c r="F44" i="133"/>
  <c r="F43" i="133"/>
  <c r="C35" i="133"/>
  <c r="H31" i="133"/>
  <c r="G21" i="142" l="1"/>
  <c r="H25" i="142" s="1"/>
  <c r="G21" i="143"/>
  <c r="H25" i="143" s="1"/>
  <c r="G20" i="176"/>
  <c r="H24" i="176" s="1"/>
  <c r="G21" i="133"/>
  <c r="H25" i="133" s="1"/>
  <c r="G21" i="140"/>
  <c r="H25" i="140" s="1"/>
  <c r="G21" i="141"/>
  <c r="H25" i="141" s="1"/>
  <c r="G21" i="139"/>
  <c r="H25" i="139" s="1"/>
  <c r="G21" i="134"/>
  <c r="H25" i="134" s="1"/>
  <c r="G21" i="136"/>
  <c r="H25" i="136" s="1"/>
  <c r="G21" i="138"/>
  <c r="H25" i="138" s="1"/>
  <c r="G21" i="135"/>
  <c r="H25" i="135" s="1"/>
  <c r="G21" i="137"/>
  <c r="H25" i="137" s="1"/>
  <c r="G20" i="177"/>
  <c r="H24" i="177" s="1"/>
  <c r="E21" i="132"/>
  <c r="F45" i="132"/>
  <c r="F44" i="132"/>
  <c r="F43" i="132"/>
  <c r="C35" i="132"/>
  <c r="C34" i="132"/>
  <c r="H31" i="132"/>
  <c r="E21" i="131"/>
  <c r="F45" i="131"/>
  <c r="F44" i="131"/>
  <c r="F43" i="131"/>
  <c r="C35" i="131"/>
  <c r="C34" i="131"/>
  <c r="H31" i="131"/>
  <c r="E21" i="130"/>
  <c r="F45" i="130"/>
  <c r="F44" i="130"/>
  <c r="F43" i="130"/>
  <c r="C35" i="130"/>
  <c r="C34" i="130"/>
  <c r="H31" i="130"/>
  <c r="E21" i="129"/>
  <c r="F45" i="129"/>
  <c r="F44" i="129"/>
  <c r="F43" i="129"/>
  <c r="C35" i="129"/>
  <c r="C34" i="129"/>
  <c r="H31" i="129"/>
  <c r="E21" i="128"/>
  <c r="F45" i="128"/>
  <c r="F44" i="128"/>
  <c r="F43" i="128"/>
  <c r="C35" i="128"/>
  <c r="C34" i="128"/>
  <c r="H31" i="128"/>
  <c r="E21" i="127"/>
  <c r="F45" i="127"/>
  <c r="F44" i="127"/>
  <c r="F43" i="127"/>
  <c r="C35" i="127"/>
  <c r="C34" i="127"/>
  <c r="H31" i="127"/>
  <c r="C34" i="126"/>
  <c r="E21" i="126"/>
  <c r="G21" i="126" s="1"/>
  <c r="H25" i="126" s="1"/>
  <c r="F45" i="126"/>
  <c r="F44" i="126"/>
  <c r="F43" i="126"/>
  <c r="C35" i="126"/>
  <c r="H31" i="126"/>
  <c r="F45" i="125"/>
  <c r="F44" i="125"/>
  <c r="F43" i="125"/>
  <c r="C35" i="125"/>
  <c r="H31" i="125"/>
  <c r="G22" i="125"/>
  <c r="G21" i="125"/>
  <c r="G22" i="124"/>
  <c r="G21" i="124"/>
  <c r="F45" i="124"/>
  <c r="F44" i="124"/>
  <c r="F43" i="124"/>
  <c r="C35" i="124"/>
  <c r="C34" i="124"/>
  <c r="H31" i="124"/>
  <c r="C34" i="123"/>
  <c r="C33" i="123"/>
  <c r="E21" i="123"/>
  <c r="G21" i="123" s="1"/>
  <c r="F44" i="123"/>
  <c r="F43" i="123"/>
  <c r="F42" i="123"/>
  <c r="H30" i="123"/>
  <c r="C34" i="122"/>
  <c r="F45" i="122"/>
  <c r="F44" i="122"/>
  <c r="F43" i="122"/>
  <c r="H31" i="122"/>
  <c r="H25" i="122"/>
  <c r="E12" i="122"/>
  <c r="G12" i="122" s="1"/>
  <c r="F45" i="121"/>
  <c r="F44" i="121"/>
  <c r="F43" i="121"/>
  <c r="C34" i="121"/>
  <c r="H31" i="121"/>
  <c r="H25" i="121"/>
  <c r="E12" i="121"/>
  <c r="G12" i="121" s="1"/>
  <c r="F45" i="120"/>
  <c r="F44" i="120"/>
  <c r="F43" i="120"/>
  <c r="C34" i="120"/>
  <c r="H31" i="120"/>
  <c r="H25" i="120"/>
  <c r="C34" i="119"/>
  <c r="F45" i="119"/>
  <c r="F44" i="119"/>
  <c r="F43" i="119"/>
  <c r="H31" i="119"/>
  <c r="H25" i="119"/>
  <c r="E13" i="118"/>
  <c r="G13" i="118" s="1"/>
  <c r="E12" i="118"/>
  <c r="G12" i="118" s="1"/>
  <c r="F45" i="118"/>
  <c r="F44" i="118"/>
  <c r="F43" i="118"/>
  <c r="H38" i="118"/>
  <c r="H31" i="118"/>
  <c r="H25" i="118"/>
  <c r="C34" i="117"/>
  <c r="E13" i="117"/>
  <c r="G13" i="117" s="1"/>
  <c r="F45" i="117"/>
  <c r="F44" i="117"/>
  <c r="F43" i="117"/>
  <c r="H31" i="117"/>
  <c r="H25" i="117"/>
  <c r="F45" i="116"/>
  <c r="F44" i="116"/>
  <c r="F43" i="116"/>
  <c r="C34" i="116"/>
  <c r="G28" i="116"/>
  <c r="H31" i="116" s="1"/>
  <c r="E13" i="116"/>
  <c r="G13" i="116" s="1"/>
  <c r="C34" i="115"/>
  <c r="G28" i="115"/>
  <c r="H31" i="115" s="1"/>
  <c r="F45" i="115"/>
  <c r="F44" i="115"/>
  <c r="F43" i="115"/>
  <c r="H25" i="115"/>
  <c r="E13" i="115"/>
  <c r="G13" i="115" s="1"/>
  <c r="F44" i="114"/>
  <c r="F43" i="114"/>
  <c r="F42" i="114"/>
  <c r="C33" i="114"/>
  <c r="H30" i="114"/>
  <c r="H24" i="114"/>
  <c r="E13" i="114"/>
  <c r="G13" i="114" s="1"/>
  <c r="F44" i="113"/>
  <c r="F43" i="113"/>
  <c r="F42" i="113"/>
  <c r="C33" i="113"/>
  <c r="H30" i="113"/>
  <c r="H24" i="113"/>
  <c r="E13" i="113"/>
  <c r="G13" i="113" s="1"/>
  <c r="C33" i="112"/>
  <c r="E13" i="112"/>
  <c r="G13" i="112" s="1"/>
  <c r="F44" i="112"/>
  <c r="F43" i="112"/>
  <c r="F42" i="112"/>
  <c r="H30" i="112"/>
  <c r="H24" i="112"/>
  <c r="F44" i="111"/>
  <c r="F43" i="111"/>
  <c r="F42" i="111"/>
  <c r="G21" i="111"/>
  <c r="E20" i="111"/>
  <c r="G20" i="111" s="1"/>
  <c r="E15" i="111"/>
  <c r="G15" i="111" s="1"/>
  <c r="E14" i="111"/>
  <c r="G14" i="111" s="1"/>
  <c r="E13" i="111"/>
  <c r="G13" i="111" s="1"/>
  <c r="F45" i="109"/>
  <c r="F44" i="109"/>
  <c r="F43" i="109"/>
  <c r="G23" i="109"/>
  <c r="G22" i="109"/>
  <c r="G21" i="109"/>
  <c r="E16" i="109"/>
  <c r="G16" i="109" s="1"/>
  <c r="E15" i="109"/>
  <c r="G15" i="109" s="1"/>
  <c r="E14" i="109"/>
  <c r="G14" i="109" s="1"/>
  <c r="E13" i="109"/>
  <c r="G13" i="109" s="1"/>
  <c r="G23" i="108"/>
  <c r="G22" i="108"/>
  <c r="G21" i="108"/>
  <c r="E16" i="108"/>
  <c r="G16" i="108" s="1"/>
  <c r="E15" i="108"/>
  <c r="G15" i="108" s="1"/>
  <c r="E14" i="108"/>
  <c r="G14" i="108" s="1"/>
  <c r="E13" i="108"/>
  <c r="G13" i="108" s="1"/>
  <c r="F45" i="108"/>
  <c r="F44" i="108"/>
  <c r="F43" i="108"/>
  <c r="C35" i="108"/>
  <c r="F45" i="107"/>
  <c r="F44" i="107"/>
  <c r="F43" i="107"/>
  <c r="C35" i="107"/>
  <c r="C34" i="107"/>
  <c r="H31" i="107"/>
  <c r="C35" i="106"/>
  <c r="C34" i="106"/>
  <c r="H25" i="109" l="1"/>
  <c r="G21" i="129"/>
  <c r="H25" i="129" s="1"/>
  <c r="G21" i="127"/>
  <c r="H25" i="127" s="1"/>
  <c r="G21" i="132"/>
  <c r="H25" i="132" s="1"/>
  <c r="G21" i="128"/>
  <c r="H25" i="128" s="1"/>
  <c r="G21" i="131"/>
  <c r="H25" i="131" s="1"/>
  <c r="G21" i="130"/>
  <c r="H25" i="130" s="1"/>
  <c r="H24" i="111"/>
  <c r="H18" i="118"/>
  <c r="H40" i="118" s="1"/>
  <c r="G43" i="118" s="1"/>
  <c r="H25" i="125"/>
  <c r="H25" i="124"/>
  <c r="H30" i="111"/>
  <c r="H31" i="109"/>
  <c r="H31" i="108"/>
  <c r="H25" i="108"/>
  <c r="G45" i="118" l="1"/>
  <c r="G44" i="118"/>
  <c r="H46" i="118" l="1"/>
  <c r="H48" i="118" s="1"/>
  <c r="E104" i="24" s="1"/>
  <c r="G104" i="24" l="1"/>
  <c r="F45" i="106"/>
  <c r="F44" i="106"/>
  <c r="F43" i="106"/>
  <c r="H31" i="106"/>
  <c r="E15" i="105"/>
  <c r="G15" i="105" s="1"/>
  <c r="E14" i="105"/>
  <c r="G14" i="105" s="1"/>
  <c r="E13" i="105"/>
  <c r="G13" i="105" s="1"/>
  <c r="F45" i="105"/>
  <c r="F44" i="105"/>
  <c r="F43" i="105"/>
  <c r="H31" i="105"/>
  <c r="H25" i="105"/>
  <c r="H31" i="104"/>
  <c r="G21" i="104"/>
  <c r="H25" i="104" s="1"/>
  <c r="F45" i="104"/>
  <c r="F44" i="104"/>
  <c r="F43" i="104"/>
  <c r="G12" i="104"/>
  <c r="H18" i="104" s="1"/>
  <c r="E21" i="103"/>
  <c r="G21" i="103" s="1"/>
  <c r="H25" i="103" s="1"/>
  <c r="F45" i="103"/>
  <c r="F44" i="103"/>
  <c r="F43" i="103"/>
  <c r="H31" i="103"/>
  <c r="F44" i="102"/>
  <c r="F43" i="102"/>
  <c r="F42" i="102"/>
  <c r="H37" i="102"/>
  <c r="H30" i="102"/>
  <c r="H24" i="102"/>
  <c r="F45" i="101"/>
  <c r="F44" i="101"/>
  <c r="F43" i="101"/>
  <c r="H31" i="101"/>
  <c r="E14" i="101"/>
  <c r="G14" i="101" s="1"/>
  <c r="E13" i="101"/>
  <c r="G13" i="101" s="1"/>
  <c r="H17" i="102" l="1"/>
  <c r="H39" i="102" s="1"/>
  <c r="G42" i="102" s="1"/>
  <c r="H40" i="104"/>
  <c r="G45" i="104" s="1"/>
  <c r="H31" i="100"/>
  <c r="G21" i="100"/>
  <c r="H25" i="100" s="1"/>
  <c r="E14" i="100"/>
  <c r="G14" i="100" s="1"/>
  <c r="E13" i="100"/>
  <c r="G13" i="100" s="1"/>
  <c r="F45" i="100"/>
  <c r="F44" i="100"/>
  <c r="F43" i="100"/>
  <c r="C34" i="100"/>
  <c r="F45" i="99"/>
  <c r="F44" i="99"/>
  <c r="F43" i="99"/>
  <c r="C34" i="99"/>
  <c r="H31" i="99"/>
  <c r="E22" i="98"/>
  <c r="G22" i="98" s="1"/>
  <c r="F46" i="98"/>
  <c r="F45" i="98"/>
  <c r="F44" i="98"/>
  <c r="C35" i="98"/>
  <c r="H32" i="98"/>
  <c r="F46" i="97"/>
  <c r="F45" i="97"/>
  <c r="F44" i="97"/>
  <c r="C37" i="97"/>
  <c r="C35" i="97"/>
  <c r="H32" i="97"/>
  <c r="F46" i="96"/>
  <c r="F45" i="96"/>
  <c r="F44" i="96"/>
  <c r="C35" i="96"/>
  <c r="H32" i="96"/>
  <c r="C37" i="95"/>
  <c r="G25" i="95"/>
  <c r="F48" i="95"/>
  <c r="F47" i="95"/>
  <c r="F46" i="95"/>
  <c r="C39" i="94"/>
  <c r="F48" i="94"/>
  <c r="F47" i="94"/>
  <c r="F46" i="94"/>
  <c r="C37" i="94"/>
  <c r="G21" i="92"/>
  <c r="F46" i="92"/>
  <c r="F45" i="92"/>
  <c r="F44" i="92"/>
  <c r="C35" i="92"/>
  <c r="G26" i="95" l="1"/>
  <c r="H28" i="95" s="1"/>
  <c r="G24" i="92"/>
  <c r="H26" i="92" s="1"/>
  <c r="G44" i="104"/>
  <c r="G43" i="104"/>
  <c r="G44" i="102"/>
  <c r="G43" i="102"/>
  <c r="H46" i="104" l="1"/>
  <c r="H48" i="104" s="1"/>
  <c r="E91" i="24" s="1"/>
  <c r="H45" i="102"/>
  <c r="H47" i="102" s="1"/>
  <c r="E89" i="24" s="1"/>
  <c r="G89" i="24" l="1"/>
  <c r="G91" i="24"/>
  <c r="H18" i="86"/>
  <c r="H18" i="85"/>
  <c r="F48" i="89"/>
  <c r="F47" i="89"/>
  <c r="F46" i="89"/>
  <c r="H34" i="89"/>
  <c r="H18" i="84"/>
  <c r="H18" i="83"/>
  <c r="F48" i="88"/>
  <c r="F47" i="88"/>
  <c r="F46" i="88"/>
  <c r="F48" i="87"/>
  <c r="F47" i="87"/>
  <c r="F46" i="87"/>
  <c r="F45" i="86"/>
  <c r="F44" i="86"/>
  <c r="F43" i="86"/>
  <c r="H38" i="86"/>
  <c r="H31" i="86"/>
  <c r="H25" i="86"/>
  <c r="F45" i="85"/>
  <c r="F44" i="85"/>
  <c r="F43" i="85"/>
  <c r="H38" i="85"/>
  <c r="H31" i="85"/>
  <c r="H25" i="85"/>
  <c r="F45" i="84"/>
  <c r="F44" i="84"/>
  <c r="F43" i="84"/>
  <c r="H38" i="84"/>
  <c r="H31" i="84"/>
  <c r="H25" i="84"/>
  <c r="F45" i="83"/>
  <c r="F44" i="83"/>
  <c r="F43" i="83"/>
  <c r="H38" i="83"/>
  <c r="H31" i="83"/>
  <c r="H25" i="83"/>
  <c r="F45" i="82"/>
  <c r="F44" i="82"/>
  <c r="F43" i="82"/>
  <c r="H38" i="82"/>
  <c r="H31" i="82"/>
  <c r="H25" i="82"/>
  <c r="E12" i="82"/>
  <c r="F45" i="81"/>
  <c r="F44" i="81"/>
  <c r="F43" i="81"/>
  <c r="H38" i="81"/>
  <c r="H31" i="81"/>
  <c r="H25" i="81"/>
  <c r="E12" i="81"/>
  <c r="F45" i="80"/>
  <c r="F44" i="80"/>
  <c r="F43" i="80"/>
  <c r="H38" i="80"/>
  <c r="H31" i="80"/>
  <c r="H25" i="80"/>
  <c r="E12" i="80"/>
  <c r="F45" i="79"/>
  <c r="F44" i="79"/>
  <c r="F43" i="79"/>
  <c r="H38" i="79"/>
  <c r="H31" i="79"/>
  <c r="H25" i="79"/>
  <c r="E12" i="79"/>
  <c r="F45" i="78"/>
  <c r="F44" i="78"/>
  <c r="F43" i="78"/>
  <c r="H38" i="78"/>
  <c r="H31" i="78"/>
  <c r="H25" i="78"/>
  <c r="E12" i="78"/>
  <c r="F45" i="77"/>
  <c r="F44" i="77"/>
  <c r="F43" i="77"/>
  <c r="H38" i="77"/>
  <c r="H31" i="77"/>
  <c r="H25" i="77"/>
  <c r="E12" i="77"/>
  <c r="F45" i="76"/>
  <c r="F44" i="76"/>
  <c r="F43" i="76"/>
  <c r="H38" i="76"/>
  <c r="H31" i="76"/>
  <c r="H25" i="76"/>
  <c r="E12" i="76"/>
  <c r="E12" i="75"/>
  <c r="G12" i="75" s="1"/>
  <c r="F45" i="75"/>
  <c r="F44" i="75"/>
  <c r="F43" i="75"/>
  <c r="H38" i="75"/>
  <c r="H31" i="75"/>
  <c r="H25" i="75"/>
  <c r="C32" i="74"/>
  <c r="F43" i="74"/>
  <c r="F42" i="74"/>
  <c r="F41" i="74"/>
  <c r="E11" i="74"/>
  <c r="G11" i="74" s="1"/>
  <c r="H29" i="74"/>
  <c r="H23" i="74"/>
  <c r="F45" i="73"/>
  <c r="F44" i="73"/>
  <c r="F43" i="73"/>
  <c r="C34" i="73"/>
  <c r="H31" i="73"/>
  <c r="H25" i="73"/>
  <c r="F45" i="72"/>
  <c r="F44" i="72"/>
  <c r="F43" i="72"/>
  <c r="C34" i="72"/>
  <c r="H31" i="72"/>
  <c r="H25" i="72"/>
  <c r="C34" i="71"/>
  <c r="E13" i="71"/>
  <c r="G13" i="71" s="1"/>
  <c r="F45" i="71"/>
  <c r="F44" i="71"/>
  <c r="F43" i="71"/>
  <c r="H31" i="71"/>
  <c r="H25" i="71"/>
  <c r="F45" i="70"/>
  <c r="F44" i="70"/>
  <c r="F43" i="70"/>
  <c r="C34" i="70"/>
  <c r="H31" i="70"/>
  <c r="H25" i="70"/>
  <c r="C34" i="69"/>
  <c r="F45" i="69"/>
  <c r="F44" i="69"/>
  <c r="F43" i="69"/>
  <c r="H31" i="69"/>
  <c r="H25" i="69"/>
  <c r="C34" i="67"/>
  <c r="E13" i="67"/>
  <c r="G13" i="67" s="1"/>
  <c r="F45" i="67"/>
  <c r="F44" i="67"/>
  <c r="F43" i="67"/>
  <c r="H31" i="67"/>
  <c r="H25" i="67"/>
  <c r="F45" i="66"/>
  <c r="F44" i="66"/>
  <c r="F43" i="66"/>
  <c r="C34" i="66"/>
  <c r="H31" i="66"/>
  <c r="H25" i="66"/>
  <c r="G12" i="81" l="1"/>
  <c r="H18" i="81" s="1"/>
  <c r="H40" i="81" s="1"/>
  <c r="G43" i="81" s="1"/>
  <c r="G12" i="80"/>
  <c r="H18" i="80" s="1"/>
  <c r="H40" i="80" s="1"/>
  <c r="G45" i="80" s="1"/>
  <c r="G12" i="79"/>
  <c r="H18" i="79" s="1"/>
  <c r="H40" i="79" s="1"/>
  <c r="G45" i="79" s="1"/>
  <c r="G12" i="78"/>
  <c r="H18" i="78" s="1"/>
  <c r="H40" i="78" s="1"/>
  <c r="G45" i="78" s="1"/>
  <c r="G12" i="77"/>
  <c r="H18" i="77" s="1"/>
  <c r="H40" i="77" s="1"/>
  <c r="G44" i="77" s="1"/>
  <c r="G12" i="76"/>
  <c r="H18" i="76" s="1"/>
  <c r="H40" i="76" s="1"/>
  <c r="G43" i="76" s="1"/>
  <c r="G12" i="82"/>
  <c r="H18" i="82" s="1"/>
  <c r="H40" i="82" s="1"/>
  <c r="G43" i="82" s="1"/>
  <c r="H40" i="84"/>
  <c r="G45" i="84" s="1"/>
  <c r="H40" i="86"/>
  <c r="G43" i="86" s="1"/>
  <c r="H40" i="83"/>
  <c r="G45" i="83" s="1"/>
  <c r="H40" i="85"/>
  <c r="G45" i="85" s="1"/>
  <c r="H18" i="75"/>
  <c r="H40" i="75" s="1"/>
  <c r="F45" i="65"/>
  <c r="G44" i="78" l="1"/>
  <c r="G43" i="79"/>
  <c r="G43" i="78"/>
  <c r="G45" i="82"/>
  <c r="G44" i="79"/>
  <c r="G44" i="82"/>
  <c r="G45" i="76"/>
  <c r="G43" i="80"/>
  <c r="G44" i="83"/>
  <c r="G44" i="76"/>
  <c r="G44" i="80"/>
  <c r="G43" i="83"/>
  <c r="G45" i="77"/>
  <c r="G45" i="86"/>
  <c r="G43" i="77"/>
  <c r="G45" i="81"/>
  <c r="G43" i="84"/>
  <c r="G44" i="81"/>
  <c r="G44" i="84"/>
  <c r="G44" i="85"/>
  <c r="G43" i="85"/>
  <c r="G44" i="86"/>
  <c r="G43" i="75"/>
  <c r="G44" i="75"/>
  <c r="G45" i="75"/>
  <c r="C34" i="65"/>
  <c r="F44" i="65"/>
  <c r="F43" i="65"/>
  <c r="H31" i="65"/>
  <c r="H25" i="65"/>
  <c r="H46" i="86" l="1"/>
  <c r="H48" i="86" s="1"/>
  <c r="E68" i="24" s="1"/>
  <c r="H46" i="82"/>
  <c r="H48" i="82" s="1"/>
  <c r="E62" i="24" s="1"/>
  <c r="H46" i="81"/>
  <c r="H48" i="81" s="1"/>
  <c r="E61" i="24" s="1"/>
  <c r="H46" i="78"/>
  <c r="H48" i="78" s="1"/>
  <c r="E56" i="24" s="1"/>
  <c r="H46" i="79"/>
  <c r="H48" i="79" s="1"/>
  <c r="E58" i="24" s="1"/>
  <c r="H46" i="80"/>
  <c r="H48" i="80" s="1"/>
  <c r="E59" i="24" s="1"/>
  <c r="H46" i="76"/>
  <c r="H48" i="76" s="1"/>
  <c r="E53" i="24" s="1"/>
  <c r="H46" i="83"/>
  <c r="H48" i="83" s="1"/>
  <c r="E64" i="24" s="1"/>
  <c r="H46" i="77"/>
  <c r="H48" i="77" s="1"/>
  <c r="E55" i="24" s="1"/>
  <c r="H46" i="84"/>
  <c r="H48" i="84" s="1"/>
  <c r="E65" i="24" s="1"/>
  <c r="H46" i="85"/>
  <c r="H48" i="85" s="1"/>
  <c r="E67" i="24" s="1"/>
  <c r="H46" i="75"/>
  <c r="H48" i="75" s="1"/>
  <c r="E52" i="24" s="1"/>
  <c r="C34" i="64"/>
  <c r="E13" i="64"/>
  <c r="G13" i="64" s="1"/>
  <c r="F45" i="64"/>
  <c r="F44" i="64"/>
  <c r="F43" i="64"/>
  <c r="H31" i="64"/>
  <c r="H25" i="64"/>
  <c r="F45" i="63"/>
  <c r="F44" i="63"/>
  <c r="F43" i="63"/>
  <c r="C34" i="63"/>
  <c r="H31" i="63"/>
  <c r="H25" i="63"/>
  <c r="C34" i="62"/>
  <c r="F45" i="62"/>
  <c r="F44" i="62"/>
  <c r="F43" i="62"/>
  <c r="H31" i="62"/>
  <c r="H25" i="62"/>
  <c r="C34" i="59"/>
  <c r="E13" i="59"/>
  <c r="G13" i="59" s="1"/>
  <c r="F45" i="59"/>
  <c r="F44" i="59"/>
  <c r="F43" i="59"/>
  <c r="H31" i="59"/>
  <c r="H25" i="59"/>
  <c r="F45" i="58"/>
  <c r="F44" i="58"/>
  <c r="F43" i="58"/>
  <c r="H31" i="58"/>
  <c r="H25" i="58"/>
  <c r="F45" i="57"/>
  <c r="F44" i="57"/>
  <c r="F43" i="57"/>
  <c r="H31" i="57"/>
  <c r="H25" i="57"/>
  <c r="G64" i="24" l="1"/>
  <c r="G53" i="24"/>
  <c r="G59" i="24"/>
  <c r="G58" i="24"/>
  <c r="G52" i="24"/>
  <c r="G56" i="24"/>
  <c r="G67" i="24"/>
  <c r="G61" i="24"/>
  <c r="G65" i="24"/>
  <c r="G62" i="24"/>
  <c r="G55" i="24"/>
  <c r="G68" i="24"/>
  <c r="F45" i="56"/>
  <c r="F44" i="56"/>
  <c r="F43" i="56"/>
  <c r="C34" i="56"/>
  <c r="H31" i="56"/>
  <c r="H25" i="56"/>
  <c r="E13" i="56"/>
  <c r="G13" i="56" s="1"/>
  <c r="F45" i="55"/>
  <c r="F44" i="55"/>
  <c r="F43" i="55"/>
  <c r="C34" i="55"/>
  <c r="H31" i="55"/>
  <c r="H25" i="55"/>
  <c r="E13" i="55"/>
  <c r="G13" i="55" s="1"/>
  <c r="F45" i="53"/>
  <c r="F44" i="53"/>
  <c r="F43" i="53"/>
  <c r="H31" i="53"/>
  <c r="H25" i="53"/>
  <c r="F45" i="52"/>
  <c r="F44" i="52"/>
  <c r="F43" i="52"/>
  <c r="H31" i="52"/>
  <c r="H25" i="52"/>
  <c r="F45" i="51"/>
  <c r="F44" i="51"/>
  <c r="F43" i="51"/>
  <c r="H31" i="51"/>
  <c r="H25" i="51"/>
  <c r="G21" i="50"/>
  <c r="H25" i="50" s="1"/>
  <c r="F45" i="50"/>
  <c r="F44" i="50"/>
  <c r="F43" i="50"/>
  <c r="C34" i="50"/>
  <c r="H31" i="50"/>
  <c r="F45" i="49"/>
  <c r="F44" i="49"/>
  <c r="F43" i="49"/>
  <c r="C34" i="49"/>
  <c r="H31" i="49"/>
  <c r="H25" i="49"/>
  <c r="E21" i="46"/>
  <c r="G21" i="46" s="1"/>
  <c r="E12" i="46"/>
  <c r="G12" i="46" s="1"/>
  <c r="C31" i="44"/>
  <c r="F44" i="48"/>
  <c r="F43" i="48"/>
  <c r="F42" i="48"/>
  <c r="H37" i="48"/>
  <c r="H30" i="48"/>
  <c r="E20" i="48"/>
  <c r="G20" i="48" s="1"/>
  <c r="H24" i="48" s="1"/>
  <c r="E11" i="48"/>
  <c r="F44" i="47"/>
  <c r="F43" i="47"/>
  <c r="F42" i="47"/>
  <c r="H37" i="47"/>
  <c r="H30" i="47"/>
  <c r="E20" i="47"/>
  <c r="G20" i="47" s="1"/>
  <c r="H24" i="47" s="1"/>
  <c r="E11" i="47"/>
  <c r="G11" i="48" l="1"/>
  <c r="H17" i="48" s="1"/>
  <c r="H39" i="48" s="1"/>
  <c r="G44" i="48" s="1"/>
  <c r="G11" i="47"/>
  <c r="H17" i="47" s="1"/>
  <c r="H39" i="47" s="1"/>
  <c r="G43" i="47" s="1"/>
  <c r="G42" i="47" l="1"/>
  <c r="G44" i="47"/>
  <c r="G43" i="48"/>
  <c r="G42" i="48"/>
  <c r="H45" i="47" l="1"/>
  <c r="H47" i="47" s="1"/>
  <c r="E17" i="24" s="1"/>
  <c r="H45" i="48"/>
  <c r="H47" i="48" s="1"/>
  <c r="G17" i="24" l="1"/>
  <c r="E18" i="24"/>
  <c r="E20" i="41"/>
  <c r="G20" i="41" s="1"/>
  <c r="E11" i="41"/>
  <c r="G11" i="41" s="1"/>
  <c r="E20" i="40"/>
  <c r="G20" i="40" s="1"/>
  <c r="E23" i="35"/>
  <c r="G23" i="35" s="1"/>
  <c r="C34" i="35"/>
  <c r="G21" i="35"/>
  <c r="E22" i="35"/>
  <c r="G22" i="35" s="1"/>
  <c r="G18" i="24" l="1"/>
  <c r="H25" i="35"/>
  <c r="F44" i="35" l="1"/>
  <c r="F43" i="35"/>
  <c r="F42" i="35"/>
  <c r="F45" i="46" l="1"/>
  <c r="F44" i="46"/>
  <c r="F43" i="46"/>
  <c r="H31" i="46"/>
  <c r="F42" i="44" l="1"/>
  <c r="F41" i="44"/>
  <c r="F40" i="44"/>
  <c r="H28" i="44"/>
  <c r="H22" i="44"/>
  <c r="F44" i="41"/>
  <c r="F43" i="41"/>
  <c r="F42" i="41"/>
  <c r="H37" i="41"/>
  <c r="H30" i="41"/>
  <c r="H24" i="41"/>
  <c r="H17" i="41"/>
  <c r="F44" i="40"/>
  <c r="F43" i="40"/>
  <c r="F42" i="40"/>
  <c r="H30" i="40"/>
  <c r="H24" i="40"/>
  <c r="F45" i="37"/>
  <c r="F44" i="37"/>
  <c r="F43" i="37"/>
  <c r="H31" i="37"/>
  <c r="H25" i="37"/>
  <c r="F45" i="36"/>
  <c r="F44" i="36"/>
  <c r="F43" i="36"/>
  <c r="H38" i="36"/>
  <c r="H31" i="36"/>
  <c r="H25" i="36"/>
  <c r="H18" i="36"/>
  <c r="H18" i="35"/>
  <c r="G21" i="275"/>
  <c r="H26" i="275" s="1"/>
  <c r="H25" i="46"/>
  <c r="G22" i="299"/>
  <c r="H25" i="299" s="1"/>
  <c r="G21" i="101"/>
  <c r="H25" i="101" s="1"/>
  <c r="G22" i="293" l="1"/>
  <c r="H25" i="293" s="1"/>
  <c r="G23" i="253"/>
  <c r="H39" i="41"/>
  <c r="G43" i="41" s="1"/>
  <c r="H40" i="36"/>
  <c r="G43" i="36" s="1"/>
  <c r="G42" i="41" l="1"/>
  <c r="G44" i="41"/>
  <c r="G44" i="36"/>
  <c r="G45" i="36"/>
  <c r="H45" i="41" l="1"/>
  <c r="H47" i="41" s="1"/>
  <c r="E16" i="24" s="1"/>
  <c r="H46" i="36"/>
  <c r="H48" i="36" s="1"/>
  <c r="E11" i="24" s="1"/>
  <c r="G11" i="24" s="1"/>
  <c r="G16" i="24" l="1"/>
  <c r="E35" i="414"/>
  <c r="G35" i="414" s="1"/>
  <c r="E34" i="412"/>
  <c r="G34" i="412" s="1"/>
  <c r="E34" i="414"/>
  <c r="G34" i="414" s="1"/>
  <c r="E35" i="412"/>
  <c r="G35" i="412" s="1"/>
  <c r="E35" i="413"/>
  <c r="G35" i="413" s="1"/>
  <c r="E34" i="413"/>
  <c r="G34" i="413" s="1"/>
  <c r="E35" i="411"/>
  <c r="G35" i="411" s="1"/>
  <c r="E34" i="411"/>
  <c r="G34" i="411" s="1"/>
  <c r="E34" i="410"/>
  <c r="G34" i="410" s="1"/>
  <c r="E33" i="410"/>
  <c r="G33" i="410" s="1"/>
  <c r="E34" i="409"/>
  <c r="G34" i="409" s="1"/>
  <c r="E33" i="409"/>
  <c r="G33" i="409" s="1"/>
  <c r="E35" i="408"/>
  <c r="G35" i="408" s="1"/>
  <c r="E34" i="408"/>
  <c r="G34" i="408" s="1"/>
  <c r="E35" i="300"/>
  <c r="G35" i="300" s="1"/>
  <c r="E35" i="301"/>
  <c r="G35" i="301" s="1"/>
  <c r="E34" i="301"/>
  <c r="G34" i="301" s="1"/>
  <c r="E34" i="300"/>
  <c r="G34" i="300" s="1"/>
  <c r="E35" i="407"/>
  <c r="G35" i="407" s="1"/>
  <c r="E34" i="407"/>
  <c r="G34" i="407" s="1"/>
  <c r="E35" i="52"/>
  <c r="G35" i="52" s="1"/>
  <c r="E34" i="52"/>
  <c r="G34" i="52" s="1"/>
  <c r="E35" i="51"/>
  <c r="G35" i="51" s="1"/>
  <c r="E39" i="402"/>
  <c r="G39" i="402" s="1"/>
  <c r="E37" i="96"/>
  <c r="G37" i="96" s="1"/>
  <c r="E38" i="404"/>
  <c r="G38" i="404" s="1"/>
  <c r="E37" i="404"/>
  <c r="G37" i="404" s="1"/>
  <c r="E38" i="403"/>
  <c r="G38" i="403" s="1"/>
  <c r="E37" i="403"/>
  <c r="G37" i="403" s="1"/>
  <c r="E38" i="402"/>
  <c r="G38" i="402" s="1"/>
  <c r="E37" i="402"/>
  <c r="G37" i="402" s="1"/>
  <c r="E37" i="401"/>
  <c r="G37" i="401" s="1"/>
  <c r="E38" i="401"/>
  <c r="G38" i="401" s="1"/>
  <c r="E33" i="399"/>
  <c r="G33" i="399" s="1"/>
  <c r="E34" i="303"/>
  <c r="G34" i="303" s="1"/>
  <c r="E34" i="304"/>
  <c r="G34" i="304" s="1"/>
  <c r="E34" i="320"/>
  <c r="G34" i="320" s="1"/>
  <c r="E34" i="399"/>
  <c r="G34" i="399" s="1"/>
  <c r="E35" i="294"/>
  <c r="G35" i="294" s="1"/>
  <c r="E35" i="293"/>
  <c r="G35" i="293" s="1"/>
  <c r="E35" i="398"/>
  <c r="G35" i="398" s="1"/>
  <c r="E35" i="397"/>
  <c r="G35" i="397" s="1"/>
  <c r="E34" i="397"/>
  <c r="G34" i="397" s="1"/>
  <c r="E34" i="398"/>
  <c r="G34" i="398" s="1"/>
  <c r="E35" i="46"/>
  <c r="G35" i="46" s="1"/>
  <c r="E34" i="57"/>
  <c r="E38" i="87"/>
  <c r="G38" i="87" s="1"/>
  <c r="E37" i="87"/>
  <c r="G37" i="87" s="1"/>
  <c r="E35" i="35"/>
  <c r="G35" i="35" s="1"/>
  <c r="E34" i="35"/>
  <c r="G34" i="35" s="1"/>
  <c r="E33" i="384"/>
  <c r="G33" i="384" s="1"/>
  <c r="E33" i="383"/>
  <c r="G33" i="383" s="1"/>
  <c r="E33" i="382"/>
  <c r="G33" i="382" s="1"/>
  <c r="E33" i="381"/>
  <c r="G33" i="381" s="1"/>
  <c r="E33" i="380"/>
  <c r="G33" i="380" s="1"/>
  <c r="E33" i="379"/>
  <c r="G33" i="379" s="1"/>
  <c r="E33" i="378"/>
  <c r="G33" i="378" s="1"/>
  <c r="E33" i="377"/>
  <c r="G33" i="377" s="1"/>
  <c r="E34" i="376"/>
  <c r="G34" i="376" s="1"/>
  <c r="E34" i="375"/>
  <c r="G34" i="375" s="1"/>
  <c r="E34" i="374"/>
  <c r="G34" i="374" s="1"/>
  <c r="E34" i="362"/>
  <c r="G34" i="362" s="1"/>
  <c r="E34" i="361"/>
  <c r="G34" i="361" s="1"/>
  <c r="E34" i="360"/>
  <c r="G34" i="360" s="1"/>
  <c r="E34" i="359"/>
  <c r="G34" i="359" s="1"/>
  <c r="E34" i="358"/>
  <c r="G34" i="358" s="1"/>
  <c r="E34" i="357"/>
  <c r="G34" i="357" s="1"/>
  <c r="E34" i="356"/>
  <c r="G34" i="356" s="1"/>
  <c r="E34" i="355"/>
  <c r="G34" i="355" s="1"/>
  <c r="E33" i="354"/>
  <c r="G33" i="354" s="1"/>
  <c r="E34" i="353"/>
  <c r="G34" i="353" s="1"/>
  <c r="E34" i="352"/>
  <c r="G34" i="352" s="1"/>
  <c r="E34" i="349"/>
  <c r="G34" i="349" s="1"/>
  <c r="E35" i="348"/>
  <c r="G35" i="348" s="1"/>
  <c r="E34" i="347"/>
  <c r="G34" i="347" s="1"/>
  <c r="E35" i="346"/>
  <c r="G35" i="346" s="1"/>
  <c r="E34" i="345"/>
  <c r="G34" i="345" s="1"/>
  <c r="E35" i="344"/>
  <c r="G35" i="344" s="1"/>
  <c r="E34" i="343"/>
  <c r="G34" i="343" s="1"/>
  <c r="E35" i="342"/>
  <c r="G35" i="342" s="1"/>
  <c r="E35" i="341"/>
  <c r="G35" i="341" s="1"/>
  <c r="E34" i="339"/>
  <c r="G34" i="339" s="1"/>
  <c r="E34" i="383"/>
  <c r="G34" i="383" s="1"/>
  <c r="E34" i="381"/>
  <c r="G34" i="381" s="1"/>
  <c r="E34" i="379"/>
  <c r="G34" i="379" s="1"/>
  <c r="E34" i="377"/>
  <c r="G34" i="377" s="1"/>
  <c r="E35" i="375"/>
  <c r="G35" i="375" s="1"/>
  <c r="E35" i="361"/>
  <c r="G35" i="361" s="1"/>
  <c r="E35" i="359"/>
  <c r="G35" i="359" s="1"/>
  <c r="E35" i="357"/>
  <c r="G35" i="357" s="1"/>
  <c r="E35" i="355"/>
  <c r="G35" i="355" s="1"/>
  <c r="E35" i="353"/>
  <c r="G35" i="353" s="1"/>
  <c r="E33" i="352"/>
  <c r="G33" i="352" s="1"/>
  <c r="E35" i="349"/>
  <c r="G35" i="349" s="1"/>
  <c r="E34" i="348"/>
  <c r="G34" i="348" s="1"/>
  <c r="E35" i="347"/>
  <c r="G35" i="347" s="1"/>
  <c r="E34" i="346"/>
  <c r="G34" i="346" s="1"/>
  <c r="E35" i="345"/>
  <c r="G35" i="345" s="1"/>
  <c r="E34" i="344"/>
  <c r="G34" i="344" s="1"/>
  <c r="E35" i="343"/>
  <c r="G35" i="343" s="1"/>
  <c r="E34" i="342"/>
  <c r="G34" i="342" s="1"/>
  <c r="E34" i="384"/>
  <c r="G34" i="384" s="1"/>
  <c r="E34" i="382"/>
  <c r="G34" i="382" s="1"/>
  <c r="E34" i="380"/>
  <c r="G34" i="380" s="1"/>
  <c r="E34" i="378"/>
  <c r="G34" i="378" s="1"/>
  <c r="E35" i="376"/>
  <c r="G35" i="376" s="1"/>
  <c r="E35" i="374"/>
  <c r="G35" i="374" s="1"/>
  <c r="E35" i="362"/>
  <c r="G35" i="362" s="1"/>
  <c r="E35" i="360"/>
  <c r="G35" i="360" s="1"/>
  <c r="E35" i="358"/>
  <c r="G35" i="358" s="1"/>
  <c r="E35" i="356"/>
  <c r="G35" i="356" s="1"/>
  <c r="E34" i="354"/>
  <c r="G34" i="354" s="1"/>
  <c r="E34" i="341"/>
  <c r="G34" i="341" s="1"/>
  <c r="E35" i="339"/>
  <c r="G35" i="339" s="1"/>
  <c r="E35" i="338"/>
  <c r="G35" i="338" s="1"/>
  <c r="E34" i="338"/>
  <c r="G34" i="338" s="1"/>
  <c r="E35" i="337"/>
  <c r="G35" i="337" s="1"/>
  <c r="E34" i="337"/>
  <c r="G34" i="337" s="1"/>
  <c r="E35" i="336"/>
  <c r="G35" i="336" s="1"/>
  <c r="E34" i="336"/>
  <c r="G34" i="336" s="1"/>
  <c r="E34" i="335"/>
  <c r="G34" i="335" s="1"/>
  <c r="E33" i="335"/>
  <c r="G33" i="335" s="1"/>
  <c r="E35" i="334"/>
  <c r="G35" i="334" s="1"/>
  <c r="E34" i="334"/>
  <c r="G34" i="334" s="1"/>
  <c r="E35" i="333"/>
  <c r="G35" i="333" s="1"/>
  <c r="E34" i="333"/>
  <c r="G34" i="333" s="1"/>
  <c r="E35" i="332"/>
  <c r="G35" i="332" s="1"/>
  <c r="E34" i="332"/>
  <c r="G34" i="332" s="1"/>
  <c r="E33" i="331"/>
  <c r="G33" i="331" s="1"/>
  <c r="E33" i="330"/>
  <c r="G33" i="330" s="1"/>
  <c r="E35" i="329"/>
  <c r="G35" i="329" s="1"/>
  <c r="E34" i="329"/>
  <c r="G34" i="329" s="1"/>
  <c r="E35" i="328"/>
  <c r="G35" i="328" s="1"/>
  <c r="E34" i="328"/>
  <c r="G34" i="328" s="1"/>
  <c r="H38" i="326"/>
  <c r="H38" i="327"/>
  <c r="E34" i="324"/>
  <c r="G34" i="324" s="1"/>
  <c r="H37" i="321"/>
  <c r="H37" i="322"/>
  <c r="E33" i="320"/>
  <c r="G33" i="320" s="1"/>
  <c r="E35" i="308"/>
  <c r="G35" i="308" s="1"/>
  <c r="E34" i="308"/>
  <c r="G34" i="308" s="1"/>
  <c r="E35" i="307"/>
  <c r="G35" i="307" s="1"/>
  <c r="E34" i="307"/>
  <c r="G34" i="307" s="1"/>
  <c r="E34" i="305"/>
  <c r="E34" i="306"/>
  <c r="G34" i="306" s="1"/>
  <c r="E35" i="306"/>
  <c r="G35" i="306" s="1"/>
  <c r="E33" i="303"/>
  <c r="G33" i="303" s="1"/>
  <c r="E33" i="304"/>
  <c r="G33" i="304" s="1"/>
  <c r="E34" i="302"/>
  <c r="G34" i="302" s="1"/>
  <c r="E36" i="295"/>
  <c r="G36" i="295" s="1"/>
  <c r="E35" i="302"/>
  <c r="G35" i="302" s="1"/>
  <c r="E35" i="299"/>
  <c r="G35" i="299" s="1"/>
  <c r="E34" i="299"/>
  <c r="G34" i="299" s="1"/>
  <c r="E34" i="298"/>
  <c r="G34" i="298" s="1"/>
  <c r="E34" i="296"/>
  <c r="G34" i="296" s="1"/>
  <c r="E35" i="295"/>
  <c r="G35" i="295" s="1"/>
  <c r="E34" i="294"/>
  <c r="G34" i="294" s="1"/>
  <c r="E34" i="293"/>
  <c r="G34" i="293" s="1"/>
  <c r="E35" i="287"/>
  <c r="G35" i="287" s="1"/>
  <c r="E34" i="287"/>
  <c r="G34" i="287" s="1"/>
  <c r="E35" i="286"/>
  <c r="G35" i="286" s="1"/>
  <c r="E34" i="286"/>
  <c r="G34" i="286" s="1"/>
  <c r="E35" i="285"/>
  <c r="G35" i="285" s="1"/>
  <c r="E34" i="285"/>
  <c r="G34" i="285" s="1"/>
  <c r="E35" i="284"/>
  <c r="G35" i="284" s="1"/>
  <c r="E34" i="284"/>
  <c r="G34" i="284" s="1"/>
  <c r="E35" i="283"/>
  <c r="G35" i="283" s="1"/>
  <c r="E34" i="283"/>
  <c r="G34" i="283" s="1"/>
  <c r="E35" i="282"/>
  <c r="G35" i="282" s="1"/>
  <c r="E34" i="282"/>
  <c r="G34" i="282" s="1"/>
  <c r="E35" i="281"/>
  <c r="G35" i="281" s="1"/>
  <c r="E34" i="281"/>
  <c r="G34" i="281" s="1"/>
  <c r="E35" i="280"/>
  <c r="G35" i="280" s="1"/>
  <c r="E34" i="280"/>
  <c r="G34" i="280" s="1"/>
  <c r="E35" i="279"/>
  <c r="G35" i="279" s="1"/>
  <c r="E34" i="279"/>
  <c r="G34" i="279" s="1"/>
  <c r="E35" i="278"/>
  <c r="G35" i="278" s="1"/>
  <c r="E34" i="278"/>
  <c r="G34" i="278" s="1"/>
  <c r="E35" i="277"/>
  <c r="G35" i="277" s="1"/>
  <c r="E34" i="277"/>
  <c r="G34" i="277" s="1"/>
  <c r="E35" i="276"/>
  <c r="G35" i="276" s="1"/>
  <c r="E34" i="276"/>
  <c r="G34" i="276" s="1"/>
  <c r="E36" i="275"/>
  <c r="G36" i="275" s="1"/>
  <c r="E35" i="275"/>
  <c r="G35" i="275" s="1"/>
  <c r="E36" i="274"/>
  <c r="G36" i="274" s="1"/>
  <c r="E35" i="274"/>
  <c r="G35" i="274" s="1"/>
  <c r="E36" i="273"/>
  <c r="G36" i="273" s="1"/>
  <c r="E35" i="273"/>
  <c r="G35" i="273" s="1"/>
  <c r="E36" i="272"/>
  <c r="G36" i="272" s="1"/>
  <c r="E35" i="272"/>
  <c r="G35" i="272" s="1"/>
  <c r="E35" i="271"/>
  <c r="G35" i="271" s="1"/>
  <c r="E34" i="271"/>
  <c r="G34" i="271" s="1"/>
  <c r="E34" i="270"/>
  <c r="G34" i="270" s="1"/>
  <c r="E33" i="270"/>
  <c r="G33" i="270" s="1"/>
  <c r="E34" i="269"/>
  <c r="G34" i="269" s="1"/>
  <c r="E33" i="269"/>
  <c r="G33" i="269" s="1"/>
  <c r="E34" i="268"/>
  <c r="G34" i="268" s="1"/>
  <c r="E33" i="268"/>
  <c r="G33" i="268" s="1"/>
  <c r="E35" i="267"/>
  <c r="G35" i="267" s="1"/>
  <c r="E34" i="267"/>
  <c r="G34" i="267" s="1"/>
  <c r="E34" i="266"/>
  <c r="E34" i="264"/>
  <c r="E35" i="262"/>
  <c r="G35" i="262" s="1"/>
  <c r="E34" i="262"/>
  <c r="G34" i="262" s="1"/>
  <c r="E35" i="261"/>
  <c r="G35" i="261" s="1"/>
  <c r="E34" i="261"/>
  <c r="G34" i="261" s="1"/>
  <c r="E35" i="260"/>
  <c r="G35" i="260" s="1"/>
  <c r="E34" i="260"/>
  <c r="G34" i="260" s="1"/>
  <c r="E34" i="259"/>
  <c r="G34" i="259" s="1"/>
  <c r="E33" i="259"/>
  <c r="G33" i="259" s="1"/>
  <c r="E35" i="258"/>
  <c r="G35" i="258" s="1"/>
  <c r="E34" i="258"/>
  <c r="G34" i="258" s="1"/>
  <c r="E35" i="257"/>
  <c r="G35" i="257" s="1"/>
  <c r="E34" i="257"/>
  <c r="G34" i="257" s="1"/>
  <c r="E35" i="256"/>
  <c r="G35" i="256" s="1"/>
  <c r="E34" i="256"/>
  <c r="G34" i="256" s="1"/>
  <c r="E35" i="255"/>
  <c r="G35" i="255" s="1"/>
  <c r="E34" i="255"/>
  <c r="G34" i="255" s="1"/>
  <c r="E37" i="254"/>
  <c r="G37" i="254" s="1"/>
  <c r="E36" i="254"/>
  <c r="G36" i="254" s="1"/>
  <c r="E37" i="253"/>
  <c r="G37" i="253" s="1"/>
  <c r="E36" i="253"/>
  <c r="G36" i="253" s="1"/>
  <c r="E35" i="251"/>
  <c r="G35" i="251" s="1"/>
  <c r="E37" i="252"/>
  <c r="G37" i="252" s="1"/>
  <c r="E36" i="252"/>
  <c r="G36" i="252" s="1"/>
  <c r="E36" i="251"/>
  <c r="G36" i="251" s="1"/>
  <c r="E34" i="250"/>
  <c r="E34" i="249"/>
  <c r="G34" i="249" s="1"/>
  <c r="H38" i="249" s="1"/>
  <c r="E34" i="248"/>
  <c r="G34" i="248" s="1"/>
  <c r="E35" i="247"/>
  <c r="G35" i="247" s="1"/>
  <c r="E34" i="247"/>
  <c r="G34" i="247" s="1"/>
  <c r="E35" i="246"/>
  <c r="G35" i="246" s="1"/>
  <c r="E34" i="246"/>
  <c r="G34" i="246" s="1"/>
  <c r="E35" i="245"/>
  <c r="G35" i="245" s="1"/>
  <c r="E34" i="245"/>
  <c r="G34" i="245" s="1"/>
  <c r="E36" i="244"/>
  <c r="G36" i="244" s="1"/>
  <c r="E35" i="244"/>
  <c r="G35" i="244" s="1"/>
  <c r="E35" i="240"/>
  <c r="G35" i="240" s="1"/>
  <c r="E34" i="240"/>
  <c r="G34" i="240" s="1"/>
  <c r="E35" i="241"/>
  <c r="G35" i="241" s="1"/>
  <c r="E34" i="241"/>
  <c r="G34" i="241" s="1"/>
  <c r="E35" i="239"/>
  <c r="G35" i="239" s="1"/>
  <c r="E34" i="239"/>
  <c r="G34" i="239" s="1"/>
  <c r="E35" i="238"/>
  <c r="G35" i="238" s="1"/>
  <c r="E34" i="238"/>
  <c r="G34" i="238" s="1"/>
  <c r="E35" i="232"/>
  <c r="G35" i="232" s="1"/>
  <c r="E34" i="232"/>
  <c r="G34" i="232" s="1"/>
  <c r="E35" i="230"/>
  <c r="G35" i="230" s="1"/>
  <c r="E34" i="230"/>
  <c r="G34" i="230" s="1"/>
  <c r="E34" i="228"/>
  <c r="G34" i="228" s="1"/>
  <c r="E33" i="228"/>
  <c r="G33" i="228" s="1"/>
  <c r="E34" i="222"/>
  <c r="G34" i="222" s="1"/>
  <c r="E33" i="222"/>
  <c r="G33" i="222" s="1"/>
  <c r="E34" i="221"/>
  <c r="G34" i="221" s="1"/>
  <c r="E33" i="221"/>
  <c r="G33" i="221" s="1"/>
  <c r="E34" i="219"/>
  <c r="G34" i="219" s="1"/>
  <c r="E33" i="219"/>
  <c r="G33" i="219" s="1"/>
  <c r="E35" i="237"/>
  <c r="G35" i="237" s="1"/>
  <c r="E34" i="237"/>
  <c r="G34" i="237" s="1"/>
  <c r="E35" i="236"/>
  <c r="G35" i="236" s="1"/>
  <c r="E34" i="236"/>
  <c r="G34" i="236" s="1"/>
  <c r="E35" i="235"/>
  <c r="G35" i="235" s="1"/>
  <c r="E34" i="235"/>
  <c r="G34" i="235" s="1"/>
  <c r="E35" i="231"/>
  <c r="G35" i="231" s="1"/>
  <c r="E34" i="231"/>
  <c r="G34" i="231" s="1"/>
  <c r="E35" i="229"/>
  <c r="G35" i="229" s="1"/>
  <c r="E34" i="229"/>
  <c r="G34" i="229" s="1"/>
  <c r="E35" i="227"/>
  <c r="G35" i="227" s="1"/>
  <c r="E34" i="227"/>
  <c r="G34" i="227" s="1"/>
  <c r="E34" i="226"/>
  <c r="G34" i="226" s="1"/>
  <c r="E33" i="226"/>
  <c r="G33" i="226" s="1"/>
  <c r="E34" i="225"/>
  <c r="G34" i="225" s="1"/>
  <c r="E33" i="225"/>
  <c r="G33" i="225" s="1"/>
  <c r="E34" i="224"/>
  <c r="G34" i="224" s="1"/>
  <c r="E33" i="224"/>
  <c r="G33" i="224" s="1"/>
  <c r="E34" i="223"/>
  <c r="G34" i="223" s="1"/>
  <c r="E33" i="223"/>
  <c r="G33" i="223" s="1"/>
  <c r="E34" i="220"/>
  <c r="G34" i="220" s="1"/>
  <c r="E33" i="220"/>
  <c r="G33" i="220" s="1"/>
  <c r="E34" i="218"/>
  <c r="G34" i="218" s="1"/>
  <c r="E33" i="218"/>
  <c r="G33" i="218" s="1"/>
  <c r="E34" i="216"/>
  <c r="G34" i="216" s="1"/>
  <c r="E33" i="216"/>
  <c r="G33" i="216" s="1"/>
  <c r="E34" i="215"/>
  <c r="G34" i="215" s="1"/>
  <c r="E33" i="215"/>
  <c r="G33" i="215" s="1"/>
  <c r="E34" i="214"/>
  <c r="G34" i="214" s="1"/>
  <c r="E33" i="214"/>
  <c r="G33" i="214" s="1"/>
  <c r="E34" i="217"/>
  <c r="G34" i="217" s="1"/>
  <c r="E33" i="217"/>
  <c r="G33" i="217" s="1"/>
  <c r="E35" i="211"/>
  <c r="G35" i="211" s="1"/>
  <c r="E34" i="211"/>
  <c r="G34" i="211" s="1"/>
  <c r="E35" i="207"/>
  <c r="G35" i="207" s="1"/>
  <c r="E34" i="207"/>
  <c r="G34" i="207" s="1"/>
  <c r="E35" i="206"/>
  <c r="G35" i="206" s="1"/>
  <c r="E34" i="206"/>
  <c r="G34" i="206" s="1"/>
  <c r="E35" i="204"/>
  <c r="G35" i="204" s="1"/>
  <c r="E34" i="204"/>
  <c r="G34" i="204" s="1"/>
  <c r="E35" i="203"/>
  <c r="G35" i="203" s="1"/>
  <c r="E34" i="203"/>
  <c r="G34" i="203" s="1"/>
  <c r="E34" i="213"/>
  <c r="G34" i="213" s="1"/>
  <c r="E33" i="213"/>
  <c r="G33" i="213" s="1"/>
  <c r="E35" i="212"/>
  <c r="G35" i="212" s="1"/>
  <c r="E34" i="212"/>
  <c r="G34" i="212" s="1"/>
  <c r="E35" i="210"/>
  <c r="G35" i="210" s="1"/>
  <c r="E34" i="210"/>
  <c r="G34" i="210" s="1"/>
  <c r="E35" i="209"/>
  <c r="G35" i="209" s="1"/>
  <c r="E34" i="209"/>
  <c r="G34" i="209" s="1"/>
  <c r="E35" i="208"/>
  <c r="G35" i="208" s="1"/>
  <c r="E34" i="208"/>
  <c r="G34" i="208" s="1"/>
  <c r="E35" i="205"/>
  <c r="G35" i="205" s="1"/>
  <c r="E34" i="205"/>
  <c r="G34" i="205" s="1"/>
  <c r="E35" i="202"/>
  <c r="G35" i="202" s="1"/>
  <c r="E34" i="202"/>
  <c r="G34" i="202" s="1"/>
  <c r="E35" i="201"/>
  <c r="G35" i="201" s="1"/>
  <c r="E34" i="201"/>
  <c r="G34" i="201" s="1"/>
  <c r="E35" i="199"/>
  <c r="G35" i="199" s="1"/>
  <c r="E35" i="197"/>
  <c r="G35" i="197" s="1"/>
  <c r="E34" i="197"/>
  <c r="G34" i="197" s="1"/>
  <c r="E35" i="196"/>
  <c r="G35" i="196" s="1"/>
  <c r="E34" i="196"/>
  <c r="G34" i="196" s="1"/>
  <c r="E35" i="195"/>
  <c r="G35" i="195" s="1"/>
  <c r="E34" i="195"/>
  <c r="G34" i="195" s="1"/>
  <c r="E35" i="193"/>
  <c r="G35" i="193" s="1"/>
  <c r="E34" i="193"/>
  <c r="G34" i="193" s="1"/>
  <c r="E35" i="192"/>
  <c r="G35" i="192" s="1"/>
  <c r="E34" i="192"/>
  <c r="G34" i="192" s="1"/>
  <c r="E35" i="190"/>
  <c r="G35" i="190" s="1"/>
  <c r="E34" i="190"/>
  <c r="G34" i="190" s="1"/>
  <c r="E35" i="188"/>
  <c r="G35" i="188" s="1"/>
  <c r="E34" i="188"/>
  <c r="G34" i="188" s="1"/>
  <c r="E35" i="186"/>
  <c r="G35" i="186" s="1"/>
  <c r="E34" i="186"/>
  <c r="G34" i="186" s="1"/>
  <c r="E35" i="184"/>
  <c r="G35" i="184" s="1"/>
  <c r="E34" i="184"/>
  <c r="G34" i="184" s="1"/>
  <c r="E35" i="183"/>
  <c r="G35" i="183" s="1"/>
  <c r="E34" i="183"/>
  <c r="G34" i="183" s="1"/>
  <c r="E34" i="182"/>
  <c r="G34" i="182" s="1"/>
  <c r="E33" i="182"/>
  <c r="G33" i="182" s="1"/>
  <c r="E34" i="181"/>
  <c r="G34" i="181" s="1"/>
  <c r="E33" i="181"/>
  <c r="G33" i="181" s="1"/>
  <c r="E34" i="179"/>
  <c r="G34" i="179" s="1"/>
  <c r="E33" i="179"/>
  <c r="G33" i="179" s="1"/>
  <c r="E35" i="200"/>
  <c r="G35" i="200" s="1"/>
  <c r="E34" i="200"/>
  <c r="G34" i="200" s="1"/>
  <c r="E34" i="199"/>
  <c r="G34" i="199" s="1"/>
  <c r="E35" i="198"/>
  <c r="G35" i="198" s="1"/>
  <c r="E34" i="198"/>
  <c r="G34" i="198" s="1"/>
  <c r="E35" i="194"/>
  <c r="G35" i="194" s="1"/>
  <c r="E34" i="194"/>
  <c r="G34" i="194" s="1"/>
  <c r="E35" i="191"/>
  <c r="G35" i="191" s="1"/>
  <c r="E34" i="191"/>
  <c r="G34" i="191" s="1"/>
  <c r="E35" i="189"/>
  <c r="G35" i="189" s="1"/>
  <c r="E34" i="189"/>
  <c r="G34" i="189" s="1"/>
  <c r="E35" i="187"/>
  <c r="G35" i="187" s="1"/>
  <c r="E34" i="187"/>
  <c r="G34" i="187" s="1"/>
  <c r="E35" i="185"/>
  <c r="G35" i="185" s="1"/>
  <c r="E34" i="185"/>
  <c r="G34" i="185" s="1"/>
  <c r="E34" i="180"/>
  <c r="G34" i="180" s="1"/>
  <c r="E33" i="180"/>
  <c r="G33" i="180" s="1"/>
  <c r="E34" i="178"/>
  <c r="G34" i="178" s="1"/>
  <c r="E33" i="178"/>
  <c r="G33" i="178" s="1"/>
  <c r="E35" i="175"/>
  <c r="G35" i="175" s="1"/>
  <c r="E34" i="175"/>
  <c r="G34" i="175" s="1"/>
  <c r="E35" i="171"/>
  <c r="G35" i="171" s="1"/>
  <c r="E34" i="171"/>
  <c r="G34" i="171" s="1"/>
  <c r="E35" i="167"/>
  <c r="G35" i="167" s="1"/>
  <c r="E34" i="167"/>
  <c r="G34" i="167" s="1"/>
  <c r="E35" i="166"/>
  <c r="G35" i="166" s="1"/>
  <c r="E34" i="166"/>
  <c r="G34" i="166" s="1"/>
  <c r="E35" i="165"/>
  <c r="G35" i="165" s="1"/>
  <c r="E34" i="165"/>
  <c r="G34" i="165" s="1"/>
  <c r="E35" i="163"/>
  <c r="G35" i="163" s="1"/>
  <c r="E34" i="163"/>
  <c r="G34" i="163" s="1"/>
  <c r="E34" i="159"/>
  <c r="G34" i="159" s="1"/>
  <c r="E33" i="159"/>
  <c r="G33" i="159" s="1"/>
  <c r="E35" i="158"/>
  <c r="G35" i="158" s="1"/>
  <c r="E34" i="158"/>
  <c r="G34" i="158" s="1"/>
  <c r="E35" i="157"/>
  <c r="G35" i="157" s="1"/>
  <c r="E34" i="157"/>
  <c r="G34" i="157" s="1"/>
  <c r="E35" i="156"/>
  <c r="G35" i="156" s="1"/>
  <c r="E34" i="156"/>
  <c r="G34" i="156" s="1"/>
  <c r="E35" i="155"/>
  <c r="G35" i="155" s="1"/>
  <c r="E34" i="155"/>
  <c r="G34" i="155" s="1"/>
  <c r="E35" i="154"/>
  <c r="G35" i="154" s="1"/>
  <c r="E34" i="154"/>
  <c r="G34" i="154" s="1"/>
  <c r="E35" i="152"/>
  <c r="G35" i="152" s="1"/>
  <c r="E34" i="152"/>
  <c r="G34" i="152" s="1"/>
  <c r="E35" i="151"/>
  <c r="G35" i="151" s="1"/>
  <c r="E34" i="151"/>
  <c r="G34" i="151" s="1"/>
  <c r="E35" i="144"/>
  <c r="G35" i="144" s="1"/>
  <c r="E34" i="144"/>
  <c r="G34" i="144" s="1"/>
  <c r="E35" i="141"/>
  <c r="G35" i="141" s="1"/>
  <c r="E34" i="141"/>
  <c r="G34" i="141" s="1"/>
  <c r="E35" i="140"/>
  <c r="G35" i="140" s="1"/>
  <c r="E34" i="140"/>
  <c r="G34" i="140" s="1"/>
  <c r="E35" i="139"/>
  <c r="G35" i="139" s="1"/>
  <c r="E34" i="139"/>
  <c r="G34" i="139" s="1"/>
  <c r="E35" i="138"/>
  <c r="G35" i="138" s="1"/>
  <c r="E34" i="138"/>
  <c r="G34" i="138" s="1"/>
  <c r="E35" i="137"/>
  <c r="G35" i="137" s="1"/>
  <c r="E34" i="137"/>
  <c r="G34" i="137" s="1"/>
  <c r="E34" i="136"/>
  <c r="G34" i="136" s="1"/>
  <c r="E34" i="135"/>
  <c r="G34" i="135" s="1"/>
  <c r="E35" i="133"/>
  <c r="G35" i="133" s="1"/>
  <c r="E34" i="133"/>
  <c r="G34" i="133" s="1"/>
  <c r="E34" i="177"/>
  <c r="G34" i="177" s="1"/>
  <c r="E33" i="177"/>
  <c r="G33" i="177" s="1"/>
  <c r="E34" i="176"/>
  <c r="G34" i="176" s="1"/>
  <c r="E33" i="176"/>
  <c r="G33" i="176" s="1"/>
  <c r="E35" i="174"/>
  <c r="G35" i="174" s="1"/>
  <c r="E34" i="174"/>
  <c r="G34" i="174" s="1"/>
  <c r="E35" i="173"/>
  <c r="G35" i="173" s="1"/>
  <c r="E34" i="173"/>
  <c r="G34" i="173" s="1"/>
  <c r="E35" i="172"/>
  <c r="G35" i="172" s="1"/>
  <c r="E34" i="172"/>
  <c r="G34" i="172" s="1"/>
  <c r="E35" i="170"/>
  <c r="G35" i="170" s="1"/>
  <c r="E34" i="170"/>
  <c r="G34" i="170" s="1"/>
  <c r="E35" i="169"/>
  <c r="G35" i="169" s="1"/>
  <c r="E34" i="169"/>
  <c r="G34" i="169" s="1"/>
  <c r="E35" i="168"/>
  <c r="G35" i="168" s="1"/>
  <c r="E34" i="168"/>
  <c r="G34" i="168" s="1"/>
  <c r="E35" i="164"/>
  <c r="G35" i="164" s="1"/>
  <c r="E34" i="164"/>
  <c r="G34" i="164" s="1"/>
  <c r="E35" i="162"/>
  <c r="G35" i="162" s="1"/>
  <c r="E34" i="162"/>
  <c r="G34" i="162" s="1"/>
  <c r="E34" i="161"/>
  <c r="G34" i="161" s="1"/>
  <c r="E33" i="161"/>
  <c r="G33" i="161" s="1"/>
  <c r="E34" i="160"/>
  <c r="G34" i="160" s="1"/>
  <c r="E33" i="160"/>
  <c r="G33" i="160" s="1"/>
  <c r="E35" i="153"/>
  <c r="G35" i="153" s="1"/>
  <c r="E34" i="153"/>
  <c r="G34" i="153" s="1"/>
  <c r="E35" i="150"/>
  <c r="G35" i="150" s="1"/>
  <c r="E34" i="150"/>
  <c r="G34" i="150" s="1"/>
  <c r="E35" i="149"/>
  <c r="G35" i="149" s="1"/>
  <c r="E34" i="149"/>
  <c r="G34" i="149" s="1"/>
  <c r="E35" i="148"/>
  <c r="G35" i="148" s="1"/>
  <c r="E34" i="148"/>
  <c r="G34" i="148" s="1"/>
  <c r="E35" i="147"/>
  <c r="G35" i="147" s="1"/>
  <c r="E34" i="147"/>
  <c r="G34" i="147" s="1"/>
  <c r="E35" i="146"/>
  <c r="G35" i="146" s="1"/>
  <c r="E34" i="146"/>
  <c r="G34" i="146" s="1"/>
  <c r="E35" i="145"/>
  <c r="G35" i="145" s="1"/>
  <c r="E34" i="145"/>
  <c r="G34" i="145" s="1"/>
  <c r="E35" i="143"/>
  <c r="G35" i="143" s="1"/>
  <c r="E34" i="143"/>
  <c r="G34" i="143" s="1"/>
  <c r="E35" i="142"/>
  <c r="G35" i="142" s="1"/>
  <c r="E34" i="142"/>
  <c r="G34" i="142" s="1"/>
  <c r="E35" i="136"/>
  <c r="G35" i="136" s="1"/>
  <c r="E35" i="135"/>
  <c r="G35" i="135" s="1"/>
  <c r="E35" i="134"/>
  <c r="G35" i="134" s="1"/>
  <c r="E34" i="134"/>
  <c r="G34" i="134" s="1"/>
  <c r="E35" i="132"/>
  <c r="G35" i="132" s="1"/>
  <c r="E34" i="132"/>
  <c r="G34" i="132" s="1"/>
  <c r="E35" i="131"/>
  <c r="G35" i="131" s="1"/>
  <c r="E34" i="131"/>
  <c r="G34" i="131" s="1"/>
  <c r="E35" i="130"/>
  <c r="G35" i="130" s="1"/>
  <c r="E34" i="130"/>
  <c r="G34" i="130" s="1"/>
  <c r="E35" i="129"/>
  <c r="G35" i="129" s="1"/>
  <c r="E34" i="129"/>
  <c r="G34" i="129" s="1"/>
  <c r="E35" i="128"/>
  <c r="G35" i="128" s="1"/>
  <c r="E34" i="128"/>
  <c r="G34" i="128" s="1"/>
  <c r="E35" i="127"/>
  <c r="G35" i="127" s="1"/>
  <c r="E34" i="127"/>
  <c r="G34" i="127" s="1"/>
  <c r="E35" i="124"/>
  <c r="G35" i="124" s="1"/>
  <c r="E34" i="124"/>
  <c r="G34" i="124" s="1"/>
  <c r="E34" i="123"/>
  <c r="G34" i="123" s="1"/>
  <c r="E33" i="123"/>
  <c r="G33" i="123" s="1"/>
  <c r="E35" i="126"/>
  <c r="G35" i="126" s="1"/>
  <c r="E34" i="126"/>
  <c r="G34" i="126" s="1"/>
  <c r="E35" i="125"/>
  <c r="G35" i="125" s="1"/>
  <c r="E34" i="125"/>
  <c r="G34" i="125" s="1"/>
  <c r="E34" i="122"/>
  <c r="E34" i="120"/>
  <c r="E34" i="117"/>
  <c r="E34" i="115"/>
  <c r="E33" i="113"/>
  <c r="E34" i="109"/>
  <c r="E35" i="107"/>
  <c r="G35" i="107" s="1"/>
  <c r="E34" i="107"/>
  <c r="G34" i="107" s="1"/>
  <c r="E34" i="121"/>
  <c r="E34" i="119"/>
  <c r="E34" i="116"/>
  <c r="E33" i="114"/>
  <c r="E33" i="112"/>
  <c r="E33" i="111"/>
  <c r="E35" i="108"/>
  <c r="G35" i="108" s="1"/>
  <c r="E34" i="108"/>
  <c r="G34" i="108" s="1"/>
  <c r="E35" i="106"/>
  <c r="E35" i="105"/>
  <c r="E34" i="103"/>
  <c r="E34" i="106"/>
  <c r="H38" i="101"/>
  <c r="E35" i="99"/>
  <c r="G35" i="99" s="1"/>
  <c r="E34" i="99"/>
  <c r="G34" i="99" s="1"/>
  <c r="E35" i="98"/>
  <c r="G35" i="98" s="1"/>
  <c r="E35" i="96"/>
  <c r="G35" i="96" s="1"/>
  <c r="E37" i="95"/>
  <c r="G37" i="95" s="1"/>
  <c r="E38" i="95"/>
  <c r="G38" i="95" s="1"/>
  <c r="E39" i="94"/>
  <c r="G39" i="94" s="1"/>
  <c r="E38" i="94"/>
  <c r="G38" i="94" s="1"/>
  <c r="E35" i="92"/>
  <c r="G35" i="92" s="1"/>
  <c r="E34" i="100"/>
  <c r="E36" i="98"/>
  <c r="G36" i="98" s="1"/>
  <c r="E37" i="97"/>
  <c r="G37" i="97" s="1"/>
  <c r="E36" i="97"/>
  <c r="G36" i="97" s="1"/>
  <c r="E35" i="97"/>
  <c r="G35" i="97" s="1"/>
  <c r="E36" i="96"/>
  <c r="G36" i="96" s="1"/>
  <c r="E37" i="94"/>
  <c r="G37" i="94" s="1"/>
  <c r="E36" i="92"/>
  <c r="G36" i="92" s="1"/>
  <c r="E38" i="89"/>
  <c r="G38" i="89" s="1"/>
  <c r="E37" i="89"/>
  <c r="G37" i="89" s="1"/>
  <c r="E38" i="88"/>
  <c r="G38" i="88" s="1"/>
  <c r="E37" i="88"/>
  <c r="G37" i="88" s="1"/>
  <c r="E32" i="74"/>
  <c r="E34" i="73"/>
  <c r="E34" i="72"/>
  <c r="E34" i="71"/>
  <c r="E34" i="70"/>
  <c r="E34" i="69"/>
  <c r="E34" i="67"/>
  <c r="E34" i="66"/>
  <c r="E34" i="65"/>
  <c r="E34" i="64"/>
  <c r="E34" i="63"/>
  <c r="E34" i="62"/>
  <c r="E34" i="59"/>
  <c r="G34" i="59" s="1"/>
  <c r="E34" i="58"/>
  <c r="G34" i="58" s="1"/>
  <c r="E34" i="55"/>
  <c r="E34" i="46"/>
  <c r="G34" i="46" s="1"/>
  <c r="E31" i="44"/>
  <c r="E34" i="56"/>
  <c r="E34" i="53"/>
  <c r="E34" i="51"/>
  <c r="G34" i="51" s="1"/>
  <c r="E34" i="50"/>
  <c r="E34" i="49"/>
  <c r="E33" i="40"/>
  <c r="E34" i="37"/>
  <c r="G33" i="111" l="1"/>
  <c r="H37" i="111" s="1"/>
  <c r="G12" i="111" s="1"/>
  <c r="G35" i="105"/>
  <c r="H38" i="105" s="1"/>
  <c r="G12" i="105" s="1"/>
  <c r="H18" i="105" s="1"/>
  <c r="H40" i="105" s="1"/>
  <c r="G34" i="109"/>
  <c r="H38" i="109" s="1"/>
  <c r="G12" i="109" s="1"/>
  <c r="H18" i="109" s="1"/>
  <c r="G34" i="100"/>
  <c r="H38" i="100" s="1"/>
  <c r="G12" i="100" s="1"/>
  <c r="G34" i="305"/>
  <c r="H38" i="305" s="1"/>
  <c r="G12" i="305" s="1"/>
  <c r="H18" i="305" s="1"/>
  <c r="H40" i="305" s="1"/>
  <c r="H41" i="288"/>
  <c r="G33" i="112"/>
  <c r="H37" i="112" s="1"/>
  <c r="G12" i="112" s="1"/>
  <c r="H17" i="112" s="1"/>
  <c r="H39" i="112" s="1"/>
  <c r="G33" i="114"/>
  <c r="H37" i="114" s="1"/>
  <c r="G12" i="114" s="1"/>
  <c r="H17" i="114" s="1"/>
  <c r="H39" i="114" s="1"/>
  <c r="G33" i="113"/>
  <c r="H37" i="113" s="1"/>
  <c r="G12" i="113" s="1"/>
  <c r="H17" i="113" s="1"/>
  <c r="H39" i="113" s="1"/>
  <c r="G34" i="116"/>
  <c r="H38" i="116" s="1"/>
  <c r="G12" i="116" s="1"/>
  <c r="H18" i="116" s="1"/>
  <c r="H40" i="116" s="1"/>
  <c r="G34" i="115"/>
  <c r="H38" i="115" s="1"/>
  <c r="G12" i="115" s="1"/>
  <c r="H18" i="115" s="1"/>
  <c r="H40" i="115" s="1"/>
  <c r="G34" i="120"/>
  <c r="H38" i="120" s="1"/>
  <c r="G13" i="120" s="1"/>
  <c r="H18" i="120" s="1"/>
  <c r="H40" i="120" s="1"/>
  <c r="G34" i="122"/>
  <c r="H38" i="122" s="1"/>
  <c r="G13" i="122" s="1"/>
  <c r="H18" i="122" s="1"/>
  <c r="H40" i="122" s="1"/>
  <c r="G34" i="71"/>
  <c r="H38" i="71" s="1"/>
  <c r="G12" i="71" s="1"/>
  <c r="H18" i="71" s="1"/>
  <c r="H40" i="71" s="1"/>
  <c r="G34" i="37"/>
  <c r="H38" i="37" s="1"/>
  <c r="G12" i="37" s="1"/>
  <c r="H18" i="37" s="1"/>
  <c r="H40" i="37" s="1"/>
  <c r="G34" i="266"/>
  <c r="H38" i="266" s="1"/>
  <c r="G12" i="266" s="1"/>
  <c r="H18" i="266" s="1"/>
  <c r="H40" i="266" s="1"/>
  <c r="G33" i="40"/>
  <c r="H37" i="40" s="1"/>
  <c r="G11" i="40" s="1"/>
  <c r="H17" i="40" s="1"/>
  <c r="H39" i="40" s="1"/>
  <c r="G34" i="121"/>
  <c r="H38" i="121" s="1"/>
  <c r="G13" i="121" s="1"/>
  <c r="H18" i="121" s="1"/>
  <c r="H40" i="121" s="1"/>
  <c r="G34" i="49"/>
  <c r="H38" i="49" s="1"/>
  <c r="G12" i="49" s="1"/>
  <c r="H18" i="49" s="1"/>
  <c r="H40" i="49" s="1"/>
  <c r="G34" i="103"/>
  <c r="H38" i="103" s="1"/>
  <c r="G12" i="103" s="1"/>
  <c r="G34" i="50"/>
  <c r="H38" i="50" s="1"/>
  <c r="G12" i="50" s="1"/>
  <c r="H18" i="50" s="1"/>
  <c r="H40" i="50" s="1"/>
  <c r="G34" i="119"/>
  <c r="H38" i="119" s="1"/>
  <c r="G13" i="119" s="1"/>
  <c r="H18" i="119" s="1"/>
  <c r="H40" i="119" s="1"/>
  <c r="G34" i="117"/>
  <c r="H38" i="117" s="1"/>
  <c r="G12" i="117" s="1"/>
  <c r="H18" i="117" s="1"/>
  <c r="H40" i="117" s="1"/>
  <c r="G34" i="264"/>
  <c r="H38" i="264" s="1"/>
  <c r="G12" i="264" s="1"/>
  <c r="H18" i="264" s="1"/>
  <c r="H40" i="264" s="1"/>
  <c r="G31" i="44"/>
  <c r="H35" i="44" s="1"/>
  <c r="G34" i="250"/>
  <c r="H38" i="250" s="1"/>
  <c r="G12" i="250" s="1"/>
  <c r="H18" i="250" s="1"/>
  <c r="H40" i="250" s="1"/>
  <c r="G34" i="69"/>
  <c r="H38" i="69" s="1"/>
  <c r="G12" i="69" s="1"/>
  <c r="H18" i="69" s="1"/>
  <c r="H40" i="69" s="1"/>
  <c r="H38" i="324"/>
  <c r="G34" i="57"/>
  <c r="H38" i="57" s="1"/>
  <c r="G12" i="57" s="1"/>
  <c r="G34" i="53"/>
  <c r="H38" i="53" s="1"/>
  <c r="G12" i="53" s="1"/>
  <c r="H18" i="53" s="1"/>
  <c r="H40" i="53" s="1"/>
  <c r="G34" i="62"/>
  <c r="H38" i="62" s="1"/>
  <c r="G12" i="62" s="1"/>
  <c r="H18" i="62" s="1"/>
  <c r="H40" i="62" s="1"/>
  <c r="G34" i="70"/>
  <c r="H38" i="70" s="1"/>
  <c r="G12" i="70" s="1"/>
  <c r="H18" i="70" s="1"/>
  <c r="H40" i="70" s="1"/>
  <c r="G34" i="56"/>
  <c r="H38" i="56" s="1"/>
  <c r="G12" i="56" s="1"/>
  <c r="H18" i="56" s="1"/>
  <c r="H40" i="56" s="1"/>
  <c r="G34" i="63"/>
  <c r="H38" i="63" s="1"/>
  <c r="G12" i="63" s="1"/>
  <c r="H18" i="63" s="1"/>
  <c r="H40" i="63" s="1"/>
  <c r="G34" i="72"/>
  <c r="H38" i="72" s="1"/>
  <c r="G12" i="72" s="1"/>
  <c r="H18" i="72" s="1"/>
  <c r="H40" i="72" s="1"/>
  <c r="G34" i="64"/>
  <c r="H38" i="64" s="1"/>
  <c r="G12" i="64" s="1"/>
  <c r="H18" i="64" s="1"/>
  <c r="H40" i="64" s="1"/>
  <c r="G34" i="65"/>
  <c r="H38" i="65" s="1"/>
  <c r="G12" i="65" s="1"/>
  <c r="H18" i="65" s="1"/>
  <c r="H40" i="65" s="1"/>
  <c r="G34" i="73"/>
  <c r="H38" i="73" s="1"/>
  <c r="G12" i="73" s="1"/>
  <c r="H18" i="73" s="1"/>
  <c r="H40" i="73" s="1"/>
  <c r="G34" i="55"/>
  <c r="H38" i="55" s="1"/>
  <c r="G12" i="55" s="1"/>
  <c r="H18" i="55" s="1"/>
  <c r="H40" i="55" s="1"/>
  <c r="G34" i="66"/>
  <c r="H38" i="66" s="1"/>
  <c r="G12" i="66" s="1"/>
  <c r="H18" i="66" s="1"/>
  <c r="H40" i="66" s="1"/>
  <c r="G32" i="74"/>
  <c r="H36" i="74" s="1"/>
  <c r="G10" i="74" s="1"/>
  <c r="H16" i="74" s="1"/>
  <c r="H38" i="74" s="1"/>
  <c r="G34" i="67"/>
  <c r="H38" i="67" s="1"/>
  <c r="G12" i="67" s="1"/>
  <c r="H18" i="67" s="1"/>
  <c r="H40" i="67" s="1"/>
  <c r="H37" i="382"/>
  <c r="G12" i="382" s="1"/>
  <c r="H17" i="382" s="1"/>
  <c r="H39" i="382" s="1"/>
  <c r="H38" i="348"/>
  <c r="G12" i="348" s="1"/>
  <c r="H18" i="348" s="1"/>
  <c r="H40" i="348" s="1"/>
  <c r="H38" i="341"/>
  <c r="G12" i="341" s="1"/>
  <c r="H18" i="341" s="1"/>
  <c r="H38" i="346"/>
  <c r="G12" i="346" s="1"/>
  <c r="H18" i="346" s="1"/>
  <c r="H40" i="346" s="1"/>
  <c r="H38" i="302"/>
  <c r="G12" i="302" s="1"/>
  <c r="H18" i="302" s="1"/>
  <c r="H40" i="302" s="1"/>
  <c r="H38" i="301"/>
  <c r="G12" i="301" s="1"/>
  <c r="H18" i="301" s="1"/>
  <c r="H40" i="301" s="1"/>
  <c r="H38" i="51"/>
  <c r="G12" i="51" s="1"/>
  <c r="H18" i="51" s="1"/>
  <c r="H40" i="51" s="1"/>
  <c r="H37" i="320"/>
  <c r="G12" i="320" s="1"/>
  <c r="H17" i="320" s="1"/>
  <c r="H39" i="320" s="1"/>
  <c r="H38" i="414"/>
  <c r="G12" i="414" s="1"/>
  <c r="H18" i="414" s="1"/>
  <c r="H40" i="414" s="1"/>
  <c r="H37" i="352"/>
  <c r="G12" i="352" s="1"/>
  <c r="H17" i="352" s="1"/>
  <c r="H39" i="352" s="1"/>
  <c r="H38" i="344"/>
  <c r="G12" i="344" s="1"/>
  <c r="H18" i="344" s="1"/>
  <c r="H38" i="412"/>
  <c r="G12" i="412" s="1"/>
  <c r="H18" i="412" s="1"/>
  <c r="H40" i="412" s="1"/>
  <c r="H38" i="342"/>
  <c r="G12" i="342" s="1"/>
  <c r="H18" i="342" s="1"/>
  <c r="H38" i="413"/>
  <c r="G12" i="413" s="1"/>
  <c r="H18" i="413" s="1"/>
  <c r="H40" i="413" s="1"/>
  <c r="G45" i="413" s="1"/>
  <c r="H38" i="407"/>
  <c r="G12" i="407" s="1"/>
  <c r="H18" i="407" s="1"/>
  <c r="H40" i="407" s="1"/>
  <c r="G44" i="407" s="1"/>
  <c r="H37" i="409"/>
  <c r="G12" i="409" s="1"/>
  <c r="H17" i="409" s="1"/>
  <c r="H39" i="409" s="1"/>
  <c r="G43" i="409" s="1"/>
  <c r="H38" i="411"/>
  <c r="G12" i="411" s="1"/>
  <c r="H18" i="411" s="1"/>
  <c r="H40" i="411" s="1"/>
  <c r="G44" i="411" s="1"/>
  <c r="H41" i="88"/>
  <c r="G12" i="88" s="1"/>
  <c r="H19" i="88" s="1"/>
  <c r="H38" i="190"/>
  <c r="H37" i="410"/>
  <c r="G12" i="410" s="1"/>
  <c r="H17" i="410" s="1"/>
  <c r="H39" i="410" s="1"/>
  <c r="H38" i="408"/>
  <c r="G12" i="408" s="1"/>
  <c r="H18" i="408" s="1"/>
  <c r="H40" i="408" s="1"/>
  <c r="G12" i="249"/>
  <c r="H18" i="249" s="1"/>
  <c r="H40" i="249" s="1"/>
  <c r="H38" i="52"/>
  <c r="G12" i="52" s="1"/>
  <c r="H18" i="52" s="1"/>
  <c r="H40" i="52" s="1"/>
  <c r="G45" i="52" s="1"/>
  <c r="H41" i="94"/>
  <c r="H41" i="404"/>
  <c r="G12" i="404" s="1"/>
  <c r="H41" i="403"/>
  <c r="G12" i="403" s="1"/>
  <c r="H18" i="403" s="1"/>
  <c r="H41" i="87"/>
  <c r="G12" i="87" s="1"/>
  <c r="H18" i="87" s="1"/>
  <c r="G12" i="101"/>
  <c r="H41" i="95"/>
  <c r="H39" i="92"/>
  <c r="H37" i="304"/>
  <c r="G12" i="304" s="1"/>
  <c r="H17" i="304" s="1"/>
  <c r="H39" i="304" s="1"/>
  <c r="H38" i="398"/>
  <c r="G12" i="398" s="1"/>
  <c r="H18" i="398" s="1"/>
  <c r="H40" i="398" s="1"/>
  <c r="H41" i="402"/>
  <c r="G12" i="402" s="1"/>
  <c r="H18" i="402" s="1"/>
  <c r="H43" i="402" s="1"/>
  <c r="H37" i="303"/>
  <c r="G12" i="303" s="1"/>
  <c r="H17" i="303" s="1"/>
  <c r="H39" i="303" s="1"/>
  <c r="H41" i="401"/>
  <c r="G12" i="401" s="1"/>
  <c r="H18" i="401" s="1"/>
  <c r="H43" i="401" s="1"/>
  <c r="H37" i="399"/>
  <c r="G12" i="399" s="1"/>
  <c r="H17" i="399" s="1"/>
  <c r="H39" i="399" s="1"/>
  <c r="G12" i="327"/>
  <c r="H17" i="327" s="1"/>
  <c r="H40" i="327" s="1"/>
  <c r="G12" i="326"/>
  <c r="H17" i="326" s="1"/>
  <c r="H40" i="326" s="1"/>
  <c r="G12" i="321"/>
  <c r="H17" i="321" s="1"/>
  <c r="H39" i="321" s="1"/>
  <c r="G12" i="322"/>
  <c r="H17" i="322" s="1"/>
  <c r="H39" i="322" s="1"/>
  <c r="H38" i="58"/>
  <c r="H38" i="397"/>
  <c r="H38" i="59"/>
  <c r="G12" i="59" s="1"/>
  <c r="H18" i="59" s="1"/>
  <c r="H40" i="59" s="1"/>
  <c r="H37" i="379"/>
  <c r="G12" i="379" s="1"/>
  <c r="H38" i="339"/>
  <c r="H37" i="354"/>
  <c r="H38" i="356"/>
  <c r="H38" i="358"/>
  <c r="H38" i="360"/>
  <c r="H38" i="362"/>
  <c r="H38" i="374"/>
  <c r="H38" i="376"/>
  <c r="H37" i="378"/>
  <c r="H37" i="380"/>
  <c r="H37" i="384"/>
  <c r="H38" i="343"/>
  <c r="H38" i="345"/>
  <c r="H38" i="347"/>
  <c r="H38" i="349"/>
  <c r="H38" i="353"/>
  <c r="H38" i="355"/>
  <c r="H38" i="357"/>
  <c r="H38" i="359"/>
  <c r="H38" i="361"/>
  <c r="H38" i="375"/>
  <c r="H37" i="377"/>
  <c r="H37" i="381"/>
  <c r="H37" i="383"/>
  <c r="H39" i="97"/>
  <c r="H38" i="99"/>
  <c r="H38" i="125"/>
  <c r="G12" i="125" s="1"/>
  <c r="H38" i="126"/>
  <c r="H37" i="123"/>
  <c r="H38" i="124"/>
  <c r="G12" i="124" s="1"/>
  <c r="H38" i="127"/>
  <c r="H38" i="128"/>
  <c r="H38" i="129"/>
  <c r="H38" i="130"/>
  <c r="H38" i="131"/>
  <c r="H38" i="132"/>
  <c r="H38" i="134"/>
  <c r="H38" i="142"/>
  <c r="H38" i="143"/>
  <c r="H38" i="145"/>
  <c r="H38" i="146"/>
  <c r="H38" i="147"/>
  <c r="H38" i="148"/>
  <c r="H38" i="149"/>
  <c r="H38" i="150"/>
  <c r="H38" i="153"/>
  <c r="H37" i="160"/>
  <c r="H37" i="161"/>
  <c r="H38" i="162"/>
  <c r="H38" i="164"/>
  <c r="H38" i="168"/>
  <c r="H38" i="169"/>
  <c r="H38" i="170"/>
  <c r="H38" i="172"/>
  <c r="H38" i="173"/>
  <c r="H38" i="174"/>
  <c r="H37" i="176"/>
  <c r="H37" i="177"/>
  <c r="H38" i="133"/>
  <c r="H38" i="137"/>
  <c r="H38" i="138"/>
  <c r="H38" i="139"/>
  <c r="H38" i="140"/>
  <c r="H38" i="141"/>
  <c r="H38" i="144"/>
  <c r="H38" i="151"/>
  <c r="H38" i="152"/>
  <c r="H38" i="154"/>
  <c r="H38" i="155"/>
  <c r="H38" i="156"/>
  <c r="H38" i="157"/>
  <c r="H38" i="158"/>
  <c r="H37" i="159"/>
  <c r="H38" i="163"/>
  <c r="H38" i="165"/>
  <c r="H38" i="166"/>
  <c r="H38" i="167"/>
  <c r="H38" i="171"/>
  <c r="H38" i="175"/>
  <c r="H37" i="178"/>
  <c r="H37" i="180"/>
  <c r="H38" i="185"/>
  <c r="H38" i="187"/>
  <c r="H38" i="189"/>
  <c r="H38" i="191"/>
  <c r="H38" i="194"/>
  <c r="H38" i="198"/>
  <c r="H38" i="199"/>
  <c r="H38" i="201"/>
  <c r="H38" i="202"/>
  <c r="H38" i="205"/>
  <c r="H38" i="208"/>
  <c r="H38" i="209"/>
  <c r="H38" i="210"/>
  <c r="H38" i="212"/>
  <c r="H37" i="213"/>
  <c r="H38" i="203"/>
  <c r="H38" i="204"/>
  <c r="H38" i="206"/>
  <c r="H38" i="207"/>
  <c r="H38" i="211"/>
  <c r="H37" i="217"/>
  <c r="H37" i="214"/>
  <c r="H37" i="215"/>
  <c r="H37" i="216"/>
  <c r="H37" i="218"/>
  <c r="H37" i="220"/>
  <c r="H37" i="223"/>
  <c r="H37" i="224"/>
  <c r="H37" i="225"/>
  <c r="H37" i="226"/>
  <c r="H38" i="227"/>
  <c r="H38" i="229"/>
  <c r="H38" i="231"/>
  <c r="H38" i="235"/>
  <c r="H38" i="236"/>
  <c r="H38" i="237"/>
  <c r="H37" i="219"/>
  <c r="H37" i="221"/>
  <c r="H38" i="338"/>
  <c r="H38" i="336"/>
  <c r="H38" i="337"/>
  <c r="H37" i="335"/>
  <c r="H38" i="334"/>
  <c r="H38" i="333"/>
  <c r="H38" i="332"/>
  <c r="H38" i="328"/>
  <c r="H37" i="331"/>
  <c r="H38" i="329"/>
  <c r="H37" i="330"/>
  <c r="H38" i="325"/>
  <c r="G12" i="325" s="1"/>
  <c r="H38" i="307"/>
  <c r="H38" i="308"/>
  <c r="H38" i="306"/>
  <c r="H38" i="300"/>
  <c r="G12" i="300" s="1"/>
  <c r="H38" i="299"/>
  <c r="H38" i="298"/>
  <c r="H39" i="295"/>
  <c r="H38" i="296"/>
  <c r="H38" i="294"/>
  <c r="H38" i="293"/>
  <c r="H38" i="287"/>
  <c r="H38" i="286"/>
  <c r="H38" i="285"/>
  <c r="H38" i="284"/>
  <c r="H38" i="283"/>
  <c r="H38" i="281"/>
  <c r="H38" i="282"/>
  <c r="H38" i="280"/>
  <c r="H38" i="279"/>
  <c r="H38" i="278"/>
  <c r="H38" i="277"/>
  <c r="H38" i="276"/>
  <c r="H39" i="275"/>
  <c r="H39" i="274"/>
  <c r="H39" i="273"/>
  <c r="H39" i="272"/>
  <c r="H37" i="270"/>
  <c r="H38" i="271"/>
  <c r="J38" i="271" s="1"/>
  <c r="H37" i="269"/>
  <c r="H40" i="252"/>
  <c r="H38" i="267"/>
  <c r="H37" i="268"/>
  <c r="H38" i="260"/>
  <c r="H38" i="262"/>
  <c r="H38" i="261"/>
  <c r="H37" i="259"/>
  <c r="H38" i="258"/>
  <c r="H38" i="257"/>
  <c r="H38" i="255"/>
  <c r="G12" i="255" s="1"/>
  <c r="H18" i="255" s="1"/>
  <c r="H38" i="256"/>
  <c r="H39" i="251"/>
  <c r="H40" i="254"/>
  <c r="H40" i="253"/>
  <c r="H38" i="247"/>
  <c r="H38" i="248"/>
  <c r="H37" i="222"/>
  <c r="H37" i="228"/>
  <c r="H38" i="230"/>
  <c r="H38" i="232"/>
  <c r="H38" i="238"/>
  <c r="H38" i="246"/>
  <c r="H38" i="239"/>
  <c r="H38" i="241"/>
  <c r="H38" i="240"/>
  <c r="H38" i="245"/>
  <c r="H39" i="244"/>
  <c r="H39" i="96"/>
  <c r="H38" i="135"/>
  <c r="H41" i="89"/>
  <c r="G12" i="89" s="1"/>
  <c r="H19" i="89" s="1"/>
  <c r="H39" i="98"/>
  <c r="H38" i="106"/>
  <c r="G12" i="106" s="1"/>
  <c r="H18" i="106" s="1"/>
  <c r="H38" i="108"/>
  <c r="H38" i="107"/>
  <c r="G12" i="107" s="1"/>
  <c r="H18" i="107" s="1"/>
  <c r="H38" i="136"/>
  <c r="H38" i="200"/>
  <c r="H37" i="179"/>
  <c r="H37" i="181"/>
  <c r="H37" i="182"/>
  <c r="H38" i="183"/>
  <c r="H38" i="184"/>
  <c r="H38" i="186"/>
  <c r="H38" i="188"/>
  <c r="H38" i="192"/>
  <c r="H38" i="193"/>
  <c r="H38" i="195"/>
  <c r="H38" i="196"/>
  <c r="H38" i="197"/>
  <c r="H38" i="46"/>
  <c r="H37" i="35"/>
  <c r="H39" i="35" s="1"/>
  <c r="H18" i="103" l="1"/>
  <c r="H40" i="103" s="1"/>
  <c r="G12" i="324"/>
  <c r="H17" i="324" s="1"/>
  <c r="H40" i="324" s="1"/>
  <c r="G43" i="305"/>
  <c r="G44" i="305"/>
  <c r="G45" i="305"/>
  <c r="G12" i="44"/>
  <c r="G11" i="44"/>
  <c r="G45" i="53"/>
  <c r="G44" i="53"/>
  <c r="G43" i="53"/>
  <c r="G43" i="411"/>
  <c r="G43" i="407"/>
  <c r="G44" i="412"/>
  <c r="G43" i="412"/>
  <c r="G45" i="412"/>
  <c r="G45" i="407"/>
  <c r="G44" i="414"/>
  <c r="G45" i="414"/>
  <c r="G43" i="414"/>
  <c r="G43" i="413"/>
  <c r="G44" i="413"/>
  <c r="G43" i="346"/>
  <c r="G45" i="346"/>
  <c r="G44" i="346"/>
  <c r="G44" i="348"/>
  <c r="G43" i="348"/>
  <c r="G45" i="348"/>
  <c r="G13" i="258"/>
  <c r="H18" i="258" s="1"/>
  <c r="H40" i="258" s="1"/>
  <c r="G12" i="306"/>
  <c r="H18" i="306" s="1"/>
  <c r="H40" i="306" s="1"/>
  <c r="G12" i="307"/>
  <c r="H18" i="307" s="1"/>
  <c r="H40" i="307" s="1"/>
  <c r="G12" i="329"/>
  <c r="H18" i="329" s="1"/>
  <c r="H40" i="329" s="1"/>
  <c r="G12" i="328"/>
  <c r="H18" i="328" s="1"/>
  <c r="H40" i="328" s="1"/>
  <c r="G12" i="333"/>
  <c r="H18" i="333" s="1"/>
  <c r="G12" i="336"/>
  <c r="H18" i="336" s="1"/>
  <c r="G12" i="347"/>
  <c r="H18" i="347" s="1"/>
  <c r="H40" i="347" s="1"/>
  <c r="G12" i="343"/>
  <c r="H18" i="343" s="1"/>
  <c r="G12" i="256"/>
  <c r="H18" i="256" s="1"/>
  <c r="H40" i="256" s="1"/>
  <c r="G13" i="257"/>
  <c r="H18" i="257" s="1"/>
  <c r="H40" i="257" s="1"/>
  <c r="G12" i="308"/>
  <c r="H18" i="308" s="1"/>
  <c r="H40" i="308" s="1"/>
  <c r="G12" i="332"/>
  <c r="H18" i="332" s="1"/>
  <c r="G12" i="334"/>
  <c r="H18" i="334" s="1"/>
  <c r="G12" i="337"/>
  <c r="H18" i="337" s="1"/>
  <c r="G12" i="338"/>
  <c r="H18" i="338" s="1"/>
  <c r="G12" i="349"/>
  <c r="H18" i="349" s="1"/>
  <c r="H40" i="349" s="1"/>
  <c r="G12" i="345"/>
  <c r="H18" i="345" s="1"/>
  <c r="G12" i="380"/>
  <c r="H17" i="380" s="1"/>
  <c r="H39" i="380" s="1"/>
  <c r="G12" i="339"/>
  <c r="H18" i="339" s="1"/>
  <c r="G44" i="409"/>
  <c r="G42" i="409"/>
  <c r="G45" i="411"/>
  <c r="G44" i="121"/>
  <c r="G43" i="121"/>
  <c r="G45" i="121"/>
  <c r="G45" i="122"/>
  <c r="G43" i="122"/>
  <c r="G44" i="122"/>
  <c r="G43" i="105"/>
  <c r="G45" i="105"/>
  <c r="G44" i="105"/>
  <c r="G12" i="277"/>
  <c r="H18" i="277" s="1"/>
  <c r="H40" i="277" s="1"/>
  <c r="G12" i="282"/>
  <c r="H18" i="282" s="1"/>
  <c r="H40" i="282" s="1"/>
  <c r="G12" i="283"/>
  <c r="H18" i="283" s="1"/>
  <c r="H40" i="283" s="1"/>
  <c r="G12" i="285"/>
  <c r="H18" i="285" s="1"/>
  <c r="H40" i="285" s="1"/>
  <c r="G12" i="287"/>
  <c r="H18" i="287" s="1"/>
  <c r="H40" i="287" s="1"/>
  <c r="G12" i="276"/>
  <c r="H18" i="276" s="1"/>
  <c r="H40" i="276" s="1"/>
  <c r="G12" i="281"/>
  <c r="H18" i="281" s="1"/>
  <c r="H40" i="281" s="1"/>
  <c r="G12" i="284"/>
  <c r="H18" i="284" s="1"/>
  <c r="H40" i="284" s="1"/>
  <c r="G12" i="286"/>
  <c r="H18" i="286" s="1"/>
  <c r="H40" i="286" s="1"/>
  <c r="G44" i="410"/>
  <c r="G43" i="410"/>
  <c r="G42" i="410"/>
  <c r="G43" i="120"/>
  <c r="G44" i="120"/>
  <c r="G45" i="120"/>
  <c r="G43" i="119"/>
  <c r="G45" i="119"/>
  <c r="G44" i="119"/>
  <c r="G12" i="280"/>
  <c r="H18" i="280" s="1"/>
  <c r="H40" i="280" s="1"/>
  <c r="G12" i="279"/>
  <c r="H18" i="279" s="1"/>
  <c r="H40" i="279" s="1"/>
  <c r="G12" i="278"/>
  <c r="H18" i="278" s="1"/>
  <c r="H40" i="278" s="1"/>
  <c r="G45" i="408"/>
  <c r="G43" i="408"/>
  <c r="G44" i="408"/>
  <c r="G44" i="112"/>
  <c r="G43" i="112"/>
  <c r="G45" i="249"/>
  <c r="G44" i="249"/>
  <c r="G43" i="249"/>
  <c r="G12" i="108"/>
  <c r="H18" i="108" s="1"/>
  <c r="H40" i="108" s="1"/>
  <c r="G12" i="247"/>
  <c r="H18" i="247" s="1"/>
  <c r="H40" i="247" s="1"/>
  <c r="G12" i="261"/>
  <c r="H18" i="261" s="1"/>
  <c r="H40" i="261" s="1"/>
  <c r="G12" i="260"/>
  <c r="H18" i="260" s="1"/>
  <c r="H40" i="260" s="1"/>
  <c r="G45" i="302"/>
  <c r="G43" i="302"/>
  <c r="G44" i="302"/>
  <c r="G43" i="301"/>
  <c r="G44" i="301"/>
  <c r="G45" i="301"/>
  <c r="G44" i="113"/>
  <c r="G42" i="113"/>
  <c r="G43" i="113"/>
  <c r="G12" i="262"/>
  <c r="H18" i="262" s="1"/>
  <c r="H40" i="262" s="1"/>
  <c r="G43" i="250"/>
  <c r="G45" i="250"/>
  <c r="G44" i="250"/>
  <c r="G12" i="248"/>
  <c r="H18" i="248" s="1"/>
  <c r="H40" i="248" s="1"/>
  <c r="G44" i="114"/>
  <c r="G42" i="114"/>
  <c r="G43" i="114"/>
  <c r="G42" i="112"/>
  <c r="G45" i="56"/>
  <c r="G43" i="56"/>
  <c r="G44" i="56"/>
  <c r="G44" i="55"/>
  <c r="G45" i="55"/>
  <c r="G43" i="55"/>
  <c r="G12" i="267"/>
  <c r="H18" i="267" s="1"/>
  <c r="H40" i="267" s="1"/>
  <c r="G43" i="266"/>
  <c r="G44" i="266"/>
  <c r="G45" i="266"/>
  <c r="G13" i="237"/>
  <c r="H18" i="237" s="1"/>
  <c r="H40" i="237" s="1"/>
  <c r="G12" i="235"/>
  <c r="H18" i="235" s="1"/>
  <c r="H40" i="235" s="1"/>
  <c r="G13" i="239"/>
  <c r="H18" i="239" s="1"/>
  <c r="H40" i="239" s="1"/>
  <c r="G13" i="238"/>
  <c r="H18" i="238" s="1"/>
  <c r="H40" i="238" s="1"/>
  <c r="G12" i="236"/>
  <c r="H18" i="236" s="1"/>
  <c r="H40" i="236" s="1"/>
  <c r="G13" i="241"/>
  <c r="H18" i="241" s="1"/>
  <c r="H40" i="241" s="1"/>
  <c r="G13" i="240"/>
  <c r="H18" i="240" s="1"/>
  <c r="H40" i="240" s="1"/>
  <c r="G12" i="192"/>
  <c r="H18" i="192" s="1"/>
  <c r="H40" i="192" s="1"/>
  <c r="G13" i="188"/>
  <c r="G13" i="211"/>
  <c r="H18" i="211" s="1"/>
  <c r="H40" i="211" s="1"/>
  <c r="G12" i="206"/>
  <c r="H18" i="206" s="1"/>
  <c r="H40" i="206" s="1"/>
  <c r="G12" i="203"/>
  <c r="H18" i="203" s="1"/>
  <c r="H40" i="203" s="1"/>
  <c r="G13" i="212"/>
  <c r="H18" i="212" s="1"/>
  <c r="H40" i="212" s="1"/>
  <c r="G12" i="209"/>
  <c r="H18" i="209" s="1"/>
  <c r="H40" i="209" s="1"/>
  <c r="G12" i="205"/>
  <c r="H18" i="205" s="1"/>
  <c r="H40" i="205" s="1"/>
  <c r="G12" i="207"/>
  <c r="H18" i="207" s="1"/>
  <c r="H40" i="207" s="1"/>
  <c r="G13" i="210"/>
  <c r="H18" i="210" s="1"/>
  <c r="H40" i="210" s="1"/>
  <c r="G12" i="208"/>
  <c r="H18" i="208" s="1"/>
  <c r="H40" i="208" s="1"/>
  <c r="G12" i="202"/>
  <c r="H18" i="202" s="1"/>
  <c r="H40" i="202" s="1"/>
  <c r="G13" i="174"/>
  <c r="G12" i="204"/>
  <c r="H18" i="204" s="1"/>
  <c r="H40" i="204" s="1"/>
  <c r="G12" i="190"/>
  <c r="H18" i="190" s="1"/>
  <c r="H40" i="190" s="1"/>
  <c r="G13" i="201"/>
  <c r="H18" i="201" s="1"/>
  <c r="H40" i="201" s="1"/>
  <c r="G13" i="200"/>
  <c r="H18" i="200" s="1"/>
  <c r="H40" i="200" s="1"/>
  <c r="G13" i="199"/>
  <c r="H18" i="199" s="1"/>
  <c r="H40" i="199" s="1"/>
  <c r="G12" i="198"/>
  <c r="H18" i="198" s="1"/>
  <c r="H40" i="198" s="1"/>
  <c r="G12" i="197"/>
  <c r="H18" i="197" s="1"/>
  <c r="H40" i="197" s="1"/>
  <c r="G12" i="196"/>
  <c r="H18" i="196" s="1"/>
  <c r="H40" i="196" s="1"/>
  <c r="G12" i="195"/>
  <c r="H18" i="195" s="1"/>
  <c r="H40" i="195" s="1"/>
  <c r="G12" i="194"/>
  <c r="H18" i="194" s="1"/>
  <c r="H40" i="194" s="1"/>
  <c r="G12" i="193"/>
  <c r="H18" i="193" s="1"/>
  <c r="H40" i="193" s="1"/>
  <c r="G12" i="191"/>
  <c r="H18" i="191" s="1"/>
  <c r="H40" i="191" s="1"/>
  <c r="G13" i="189"/>
  <c r="G13" i="175"/>
  <c r="G13" i="187"/>
  <c r="H18" i="187" s="1"/>
  <c r="H40" i="187" s="1"/>
  <c r="G13" i="173"/>
  <c r="G13" i="186"/>
  <c r="G13" i="172"/>
  <c r="G13" i="185"/>
  <c r="G13" i="171"/>
  <c r="G13" i="184"/>
  <c r="G13" i="170"/>
  <c r="H18" i="170" s="1"/>
  <c r="H40" i="170" s="1"/>
  <c r="G13" i="183"/>
  <c r="G13" i="169"/>
  <c r="H18" i="169" s="1"/>
  <c r="H40" i="169" s="1"/>
  <c r="G13" i="167"/>
  <c r="H18" i="167" s="1"/>
  <c r="H40" i="167" s="1"/>
  <c r="G13" i="166"/>
  <c r="G13" i="168"/>
  <c r="H18" i="168" s="1"/>
  <c r="H40" i="168" s="1"/>
  <c r="G13" i="165"/>
  <c r="H18" i="165" s="1"/>
  <c r="H40" i="165" s="1"/>
  <c r="G13" i="164"/>
  <c r="G13" i="163"/>
  <c r="G13" i="162"/>
  <c r="G12" i="161"/>
  <c r="G12" i="160"/>
  <c r="H17" i="160" s="1"/>
  <c r="H39" i="160" s="1"/>
  <c r="G12" i="159"/>
  <c r="G12" i="158"/>
  <c r="G12" i="157"/>
  <c r="G12" i="156"/>
  <c r="G12" i="137"/>
  <c r="G12" i="155"/>
  <c r="G12" i="154"/>
  <c r="G12" i="153"/>
  <c r="G13" i="143"/>
  <c r="H18" i="143" s="1"/>
  <c r="H40" i="143" s="1"/>
  <c r="G13" i="142"/>
  <c r="H18" i="142" s="1"/>
  <c r="H40" i="142" s="1"/>
  <c r="G13" i="141"/>
  <c r="H18" i="141" s="1"/>
  <c r="H40" i="141" s="1"/>
  <c r="G12" i="140"/>
  <c r="G12" i="139"/>
  <c r="G12" i="138"/>
  <c r="G12" i="136"/>
  <c r="G12" i="135"/>
  <c r="G43" i="74"/>
  <c r="G42" i="74"/>
  <c r="G41" i="74"/>
  <c r="G43" i="73"/>
  <c r="G44" i="73"/>
  <c r="G45" i="73"/>
  <c r="G44" i="72"/>
  <c r="G45" i="72"/>
  <c r="G43" i="72"/>
  <c r="G43" i="71"/>
  <c r="G44" i="71"/>
  <c r="G45" i="71"/>
  <c r="G44" i="70"/>
  <c r="G45" i="70"/>
  <c r="G43" i="70"/>
  <c r="G43" i="69"/>
  <c r="G44" i="69"/>
  <c r="G45" i="69"/>
  <c r="G43" i="67"/>
  <c r="G44" i="67"/>
  <c r="G45" i="67"/>
  <c r="G44" i="66"/>
  <c r="G43" i="66"/>
  <c r="G45" i="66"/>
  <c r="G45" i="65"/>
  <c r="G44" i="65"/>
  <c r="G43" i="65"/>
  <c r="G44" i="116"/>
  <c r="G43" i="116"/>
  <c r="G45" i="116"/>
  <c r="G45" i="117"/>
  <c r="G43" i="117"/>
  <c r="G44" i="117"/>
  <c r="G45" i="115"/>
  <c r="G43" i="115"/>
  <c r="G44" i="115"/>
  <c r="H18" i="300"/>
  <c r="H40" i="300" s="1"/>
  <c r="G12" i="299"/>
  <c r="H18" i="299" s="1"/>
  <c r="H40" i="299" s="1"/>
  <c r="G12" i="298"/>
  <c r="H18" i="298" s="1"/>
  <c r="H40" i="298" s="1"/>
  <c r="G12" i="254"/>
  <c r="H18" i="254" s="1"/>
  <c r="G12" i="253"/>
  <c r="H18" i="253" s="1"/>
  <c r="G12" i="246"/>
  <c r="H18" i="246" s="1"/>
  <c r="G12" i="245"/>
  <c r="H18" i="245" s="1"/>
  <c r="G12" i="58"/>
  <c r="H18" i="58" s="1"/>
  <c r="H40" i="58" s="1"/>
  <c r="H18" i="101"/>
  <c r="H40" i="101" s="1"/>
  <c r="G12" i="296"/>
  <c r="H18" i="296" s="1"/>
  <c r="H40" i="296" s="1"/>
  <c r="G12" i="397"/>
  <c r="H18" i="397" s="1"/>
  <c r="H40" i="397" s="1"/>
  <c r="G12" i="244"/>
  <c r="H18" i="244" s="1"/>
  <c r="G12" i="252"/>
  <c r="H18" i="252" s="1"/>
  <c r="G43" i="52"/>
  <c r="G44" i="52"/>
  <c r="G45" i="51"/>
  <c r="G44" i="51"/>
  <c r="G43" i="51"/>
  <c r="G44" i="50"/>
  <c r="G45" i="50"/>
  <c r="G43" i="50"/>
  <c r="G13" i="46"/>
  <c r="H18" i="46" s="1"/>
  <c r="H40" i="46" s="1"/>
  <c r="H18" i="100"/>
  <c r="H40" i="100" s="1"/>
  <c r="G44" i="100" s="1"/>
  <c r="G12" i="288"/>
  <c r="H16" i="288" s="1"/>
  <c r="H43" i="288" s="1"/>
  <c r="G47" i="288" s="1"/>
  <c r="H43" i="403"/>
  <c r="H18" i="404"/>
  <c r="H43" i="404" s="1"/>
  <c r="G12" i="275"/>
  <c r="H18" i="275" s="1"/>
  <c r="H41" i="275" s="1"/>
  <c r="G12" i="274"/>
  <c r="H18" i="274" s="1"/>
  <c r="H41" i="274" s="1"/>
  <c r="G12" i="273"/>
  <c r="H18" i="273" s="1"/>
  <c r="H41" i="273" s="1"/>
  <c r="G12" i="272"/>
  <c r="H18" i="272" s="1"/>
  <c r="H41" i="272" s="1"/>
  <c r="G12" i="271"/>
  <c r="H18" i="271" s="1"/>
  <c r="H40" i="271" s="1"/>
  <c r="G12" i="270"/>
  <c r="H18" i="270" s="1"/>
  <c r="H39" i="270" s="1"/>
  <c r="G12" i="269"/>
  <c r="H18" i="269" s="1"/>
  <c r="H39" i="269" s="1"/>
  <c r="G12" i="268"/>
  <c r="H18" i="268" s="1"/>
  <c r="H39" i="268" s="1"/>
  <c r="G43" i="398"/>
  <c r="G45" i="398"/>
  <c r="G44" i="398"/>
  <c r="G47" i="402"/>
  <c r="G46" i="402"/>
  <c r="G48" i="402"/>
  <c r="G47" i="401"/>
  <c r="G46" i="401"/>
  <c r="G48" i="401"/>
  <c r="G12" i="148"/>
  <c r="G12" i="182"/>
  <c r="G12" i="181"/>
  <c r="G12" i="180"/>
  <c r="G12" i="179"/>
  <c r="G12" i="178"/>
  <c r="G12" i="177"/>
  <c r="G12" i="176"/>
  <c r="G12" i="152"/>
  <c r="G12" i="151"/>
  <c r="G12" i="150"/>
  <c r="G12" i="149"/>
  <c r="G12" i="147"/>
  <c r="H18" i="147" s="1"/>
  <c r="H40" i="147" s="1"/>
  <c r="G12" i="146"/>
  <c r="H18" i="146" s="1"/>
  <c r="H40" i="146" s="1"/>
  <c r="G12" i="145"/>
  <c r="H18" i="145" s="1"/>
  <c r="H40" i="145" s="1"/>
  <c r="G12" i="144"/>
  <c r="H18" i="144" s="1"/>
  <c r="H40" i="144" s="1"/>
  <c r="G12" i="134"/>
  <c r="G12" i="133"/>
  <c r="G12" i="132"/>
  <c r="G12" i="131"/>
  <c r="G12" i="130"/>
  <c r="G12" i="129"/>
  <c r="G12" i="128"/>
  <c r="G12" i="127"/>
  <c r="G12" i="126"/>
  <c r="G43" i="304"/>
  <c r="G44" i="304"/>
  <c r="G42" i="304"/>
  <c r="G43" i="382"/>
  <c r="G42" i="382"/>
  <c r="G44" i="382"/>
  <c r="G12" i="381"/>
  <c r="H17" i="381" s="1"/>
  <c r="H39" i="381" s="1"/>
  <c r="G12" i="361"/>
  <c r="H18" i="361" s="1"/>
  <c r="H40" i="361" s="1"/>
  <c r="G12" i="357"/>
  <c r="H18" i="357" s="1"/>
  <c r="H40" i="357" s="1"/>
  <c r="G12" i="360"/>
  <c r="H18" i="360" s="1"/>
  <c r="G12" i="356"/>
  <c r="H18" i="356" s="1"/>
  <c r="H40" i="356" s="1"/>
  <c r="G42" i="399"/>
  <c r="G44" i="399"/>
  <c r="G43" i="399"/>
  <c r="G12" i="383"/>
  <c r="H17" i="383" s="1"/>
  <c r="H39" i="383" s="1"/>
  <c r="G12" i="359"/>
  <c r="H18" i="359" s="1"/>
  <c r="H40" i="359" s="1"/>
  <c r="G12" i="384"/>
  <c r="H17" i="384" s="1"/>
  <c r="H39" i="384" s="1"/>
  <c r="G12" i="362"/>
  <c r="H18" i="362" s="1"/>
  <c r="H40" i="362" s="1"/>
  <c r="G12" i="358"/>
  <c r="H18" i="358" s="1"/>
  <c r="H40" i="358" s="1"/>
  <c r="G12" i="355"/>
  <c r="H18" i="355" s="1"/>
  <c r="H40" i="355" s="1"/>
  <c r="G12" i="354"/>
  <c r="H17" i="354" s="1"/>
  <c r="H39" i="354" s="1"/>
  <c r="G12" i="353"/>
  <c r="H18" i="353" s="1"/>
  <c r="H40" i="353" s="1"/>
  <c r="G42" i="352"/>
  <c r="G43" i="352"/>
  <c r="G44" i="352"/>
  <c r="H17" i="379"/>
  <c r="H39" i="379" s="1"/>
  <c r="G44" i="379" s="1"/>
  <c r="G12" i="378"/>
  <c r="H17" i="378" s="1"/>
  <c r="H39" i="378" s="1"/>
  <c r="G12" i="377"/>
  <c r="H17" i="377" s="1"/>
  <c r="H39" i="377" s="1"/>
  <c r="G12" i="376"/>
  <c r="H17" i="376" s="1"/>
  <c r="H40" i="376" s="1"/>
  <c r="G12" i="375"/>
  <c r="H17" i="375" s="1"/>
  <c r="H40" i="375" s="1"/>
  <c r="G12" i="374"/>
  <c r="H17" i="374" s="1"/>
  <c r="H40" i="374" s="1"/>
  <c r="G12" i="331"/>
  <c r="H17" i="331" s="1"/>
  <c r="H39" i="331" s="1"/>
  <c r="G12" i="330"/>
  <c r="H17" i="330" s="1"/>
  <c r="H39" i="330" s="1"/>
  <c r="G44" i="303"/>
  <c r="G43" i="303"/>
  <c r="G42" i="303"/>
  <c r="G44" i="327"/>
  <c r="G45" i="327"/>
  <c r="G43" i="327"/>
  <c r="G43" i="326"/>
  <c r="G44" i="326"/>
  <c r="G45" i="326"/>
  <c r="H17" i="325"/>
  <c r="H40" i="325" s="1"/>
  <c r="G43" i="321"/>
  <c r="G42" i="321"/>
  <c r="G44" i="321"/>
  <c r="G44" i="322"/>
  <c r="G42" i="322"/>
  <c r="G43" i="322"/>
  <c r="G43" i="320"/>
  <c r="G44" i="320"/>
  <c r="G42" i="320"/>
  <c r="G44" i="264"/>
  <c r="G43" i="264"/>
  <c r="G45" i="264"/>
  <c r="G12" i="98"/>
  <c r="H18" i="98" s="1"/>
  <c r="G12" i="96"/>
  <c r="G12" i="222"/>
  <c r="H17" i="222" s="1"/>
  <c r="H39" i="222" s="1"/>
  <c r="G12" i="259"/>
  <c r="H17" i="259" s="1"/>
  <c r="H39" i="259" s="1"/>
  <c r="G12" i="335"/>
  <c r="H17" i="335" s="1"/>
  <c r="G12" i="221"/>
  <c r="H17" i="221" s="1"/>
  <c r="H39" i="221" s="1"/>
  <c r="G12" i="223"/>
  <c r="H17" i="223" s="1"/>
  <c r="H39" i="223" s="1"/>
  <c r="G12" i="218"/>
  <c r="H17" i="218" s="1"/>
  <c r="H39" i="218" s="1"/>
  <c r="G12" i="215"/>
  <c r="H17" i="215" s="1"/>
  <c r="H39" i="215" s="1"/>
  <c r="G12" i="217"/>
  <c r="H17" i="217" s="1"/>
  <c r="H39" i="217" s="1"/>
  <c r="G12" i="213"/>
  <c r="H17" i="213" s="1"/>
  <c r="H39" i="213" s="1"/>
  <c r="H18" i="124"/>
  <c r="H40" i="124" s="1"/>
  <c r="G12" i="99"/>
  <c r="H18" i="99" s="1"/>
  <c r="G12" i="251"/>
  <c r="H17" i="251" s="1"/>
  <c r="G12" i="224"/>
  <c r="H17" i="224" s="1"/>
  <c r="H39" i="224" s="1"/>
  <c r="G12" i="220"/>
  <c r="H17" i="220" s="1"/>
  <c r="H39" i="220" s="1"/>
  <c r="G12" i="216"/>
  <c r="H17" i="216" s="1"/>
  <c r="H39" i="216" s="1"/>
  <c r="G12" i="97"/>
  <c r="G12" i="123"/>
  <c r="H17" i="123" s="1"/>
  <c r="G12" i="95"/>
  <c r="G12" i="94"/>
  <c r="H19" i="94" s="1"/>
  <c r="G13" i="232"/>
  <c r="H18" i="232" s="1"/>
  <c r="H40" i="232" s="1"/>
  <c r="G13" i="231"/>
  <c r="H18" i="231" s="1"/>
  <c r="H40" i="231" s="1"/>
  <c r="G13" i="230"/>
  <c r="H18" i="230" s="1"/>
  <c r="H40" i="230" s="1"/>
  <c r="G13" i="229"/>
  <c r="H18" i="229" s="1"/>
  <c r="H40" i="229" s="1"/>
  <c r="G13" i="227"/>
  <c r="H18" i="227" s="1"/>
  <c r="H40" i="227" s="1"/>
  <c r="G12" i="228"/>
  <c r="H17" i="228" s="1"/>
  <c r="H39" i="228" s="1"/>
  <c r="G12" i="226"/>
  <c r="H17" i="226" s="1"/>
  <c r="H39" i="226" s="1"/>
  <c r="G12" i="225"/>
  <c r="H17" i="225" s="1"/>
  <c r="H39" i="225" s="1"/>
  <c r="G12" i="219"/>
  <c r="H17" i="219" s="1"/>
  <c r="H39" i="219" s="1"/>
  <c r="G12" i="214"/>
  <c r="H17" i="214" s="1"/>
  <c r="H39" i="214" s="1"/>
  <c r="G12" i="294"/>
  <c r="H18" i="294" s="1"/>
  <c r="H40" i="294" s="1"/>
  <c r="G12" i="293"/>
  <c r="H18" i="293" s="1"/>
  <c r="H40" i="293" s="1"/>
  <c r="G12" i="295"/>
  <c r="H18" i="295" s="1"/>
  <c r="H41" i="295" s="1"/>
  <c r="H18" i="125"/>
  <c r="H40" i="125" s="1"/>
  <c r="G44" i="63"/>
  <c r="G43" i="63"/>
  <c r="G45" i="63"/>
  <c r="G45" i="64"/>
  <c r="G44" i="64"/>
  <c r="G43" i="64"/>
  <c r="G45" i="62"/>
  <c r="G44" i="62"/>
  <c r="G43" i="62"/>
  <c r="G44" i="59"/>
  <c r="G45" i="59"/>
  <c r="G43" i="59"/>
  <c r="G44" i="40"/>
  <c r="G42" i="40"/>
  <c r="G43" i="40"/>
  <c r="G12" i="92"/>
  <c r="H17" i="92" s="1"/>
  <c r="H18" i="57"/>
  <c r="H40" i="57" s="1"/>
  <c r="G44" i="49"/>
  <c r="G43" i="49"/>
  <c r="G45" i="49"/>
  <c r="G45" i="37"/>
  <c r="G44" i="37"/>
  <c r="G43" i="37"/>
  <c r="H43" i="89"/>
  <c r="H43" i="88"/>
  <c r="H43" i="87"/>
  <c r="G46" i="87" s="1"/>
  <c r="G44" i="35"/>
  <c r="G43" i="35"/>
  <c r="G42" i="35"/>
  <c r="G45" i="103" l="1"/>
  <c r="G43" i="103"/>
  <c r="G44" i="103"/>
  <c r="G45" i="324"/>
  <c r="G43" i="324"/>
  <c r="G44" i="324"/>
  <c r="H46" i="53"/>
  <c r="H48" i="53" s="1"/>
  <c r="E26" i="24" s="1"/>
  <c r="H46" i="305"/>
  <c r="H48" i="305" s="1"/>
  <c r="E337" i="24" s="1"/>
  <c r="H37" i="44"/>
  <c r="H46" i="411"/>
  <c r="H48" i="411" s="1"/>
  <c r="E326" i="24" s="1"/>
  <c r="H40" i="360"/>
  <c r="G45" i="360" s="1"/>
  <c r="H46" i="407"/>
  <c r="H48" i="407" s="1"/>
  <c r="E197" i="24" s="1"/>
  <c r="H46" i="65"/>
  <c r="H48" i="65" s="1"/>
  <c r="E39" i="24" s="1"/>
  <c r="H46" i="72"/>
  <c r="H48" i="72" s="1"/>
  <c r="E47" i="24" s="1"/>
  <c r="H46" i="408"/>
  <c r="H48" i="408" s="1"/>
  <c r="E211" i="24" s="1"/>
  <c r="H46" i="73"/>
  <c r="H48" i="73" s="1"/>
  <c r="E48" i="24" s="1"/>
  <c r="H46" i="348"/>
  <c r="H48" i="348" s="1"/>
  <c r="E389" i="24" s="1"/>
  <c r="H46" i="346"/>
  <c r="H48" i="346" s="1"/>
  <c r="E387" i="24" s="1"/>
  <c r="H46" i="412"/>
  <c r="H48" i="412" s="1"/>
  <c r="E329" i="24" s="1"/>
  <c r="H46" i="51"/>
  <c r="H48" i="51" s="1"/>
  <c r="E24" i="24" s="1"/>
  <c r="H46" i="414"/>
  <c r="H48" i="414" s="1"/>
  <c r="E328" i="24" s="1"/>
  <c r="H46" i="66"/>
  <c r="H48" i="66" s="1"/>
  <c r="E40" i="24" s="1"/>
  <c r="H46" i="413"/>
  <c r="H48" i="413" s="1"/>
  <c r="E327" i="24" s="1"/>
  <c r="G42" i="380"/>
  <c r="G43" i="380"/>
  <c r="G44" i="380"/>
  <c r="G44" i="349"/>
  <c r="G45" i="349"/>
  <c r="G43" i="349"/>
  <c r="G45" i="308"/>
  <c r="G44" i="308"/>
  <c r="G43" i="308"/>
  <c r="G45" i="256"/>
  <c r="G44" i="256"/>
  <c r="G43" i="256"/>
  <c r="G44" i="257"/>
  <c r="G43" i="257"/>
  <c r="G45" i="257"/>
  <c r="G43" i="328"/>
  <c r="G44" i="328"/>
  <c r="G45" i="328"/>
  <c r="G43" i="306"/>
  <c r="G45" i="306"/>
  <c r="G44" i="306"/>
  <c r="G45" i="347"/>
  <c r="G43" i="347"/>
  <c r="G44" i="347"/>
  <c r="G43" i="329"/>
  <c r="G44" i="329"/>
  <c r="G45" i="329"/>
  <c r="G44" i="307"/>
  <c r="G45" i="307"/>
  <c r="G43" i="307"/>
  <c r="G44" i="258"/>
  <c r="G45" i="258"/>
  <c r="G43" i="258"/>
  <c r="H45" i="409"/>
  <c r="H47" i="409" s="1"/>
  <c r="E235" i="24" s="1"/>
  <c r="H46" i="249"/>
  <c r="H48" i="249" s="1"/>
  <c r="E264" i="24" s="1"/>
  <c r="H46" i="120"/>
  <c r="H48" i="120" s="1"/>
  <c r="E106" i="24" s="1"/>
  <c r="H46" i="105"/>
  <c r="H48" i="105" s="1"/>
  <c r="E92" i="24" s="1"/>
  <c r="H46" i="122"/>
  <c r="H48" i="122" s="1"/>
  <c r="E108" i="24" s="1"/>
  <c r="H46" i="121"/>
  <c r="H48" i="121" s="1"/>
  <c r="E107" i="24" s="1"/>
  <c r="H46" i="250"/>
  <c r="H48" i="250" s="1"/>
  <c r="E265" i="24" s="1"/>
  <c r="G43" i="284"/>
  <c r="G44" i="284"/>
  <c r="G45" i="284"/>
  <c r="G45" i="276"/>
  <c r="G44" i="276"/>
  <c r="G43" i="276"/>
  <c r="G44" i="287"/>
  <c r="G45" i="287"/>
  <c r="G43" i="287"/>
  <c r="G43" i="283"/>
  <c r="G45" i="283"/>
  <c r="G44" i="283"/>
  <c r="G43" i="277"/>
  <c r="G44" i="277"/>
  <c r="G45" i="277"/>
  <c r="G43" i="286"/>
  <c r="G44" i="286"/>
  <c r="G45" i="286"/>
  <c r="G43" i="281"/>
  <c r="G44" i="281"/>
  <c r="G45" i="281"/>
  <c r="G45" i="285"/>
  <c r="G44" i="285"/>
  <c r="G43" i="285"/>
  <c r="G43" i="282"/>
  <c r="G44" i="282"/>
  <c r="G45" i="282"/>
  <c r="H45" i="410"/>
  <c r="H47" i="410" s="1"/>
  <c r="E226" i="24" s="1"/>
  <c r="H46" i="115"/>
  <c r="H48" i="115" s="1"/>
  <c r="E101" i="24" s="1"/>
  <c r="H46" i="69"/>
  <c r="H48" i="69" s="1"/>
  <c r="E43" i="24" s="1"/>
  <c r="H46" i="71"/>
  <c r="H48" i="71" s="1"/>
  <c r="E45" i="24" s="1"/>
  <c r="H46" i="55"/>
  <c r="H48" i="55" s="1"/>
  <c r="H45" i="113"/>
  <c r="H47" i="113" s="1"/>
  <c r="E99" i="24" s="1"/>
  <c r="H46" i="119"/>
  <c r="H48" i="119" s="1"/>
  <c r="E105" i="24" s="1"/>
  <c r="H46" i="117"/>
  <c r="H48" i="117" s="1"/>
  <c r="E103" i="24" s="1"/>
  <c r="H46" i="70"/>
  <c r="H48" i="70" s="1"/>
  <c r="E44" i="24" s="1"/>
  <c r="H44" i="74"/>
  <c r="H46" i="74" s="1"/>
  <c r="E49" i="24" s="1"/>
  <c r="H46" i="56"/>
  <c r="H48" i="56" s="1"/>
  <c r="E28" i="24" s="1"/>
  <c r="H45" i="114"/>
  <c r="H47" i="114" s="1"/>
  <c r="E100" i="24" s="1"/>
  <c r="H46" i="116"/>
  <c r="H48" i="116" s="1"/>
  <c r="E102" i="24" s="1"/>
  <c r="H46" i="67"/>
  <c r="H48" i="67" s="1"/>
  <c r="E41" i="24" s="1"/>
  <c r="H45" i="112"/>
  <c r="H47" i="112" s="1"/>
  <c r="E98" i="24" s="1"/>
  <c r="H45" i="382"/>
  <c r="H47" i="382" s="1"/>
  <c r="E416" i="24" s="1"/>
  <c r="G44" i="280"/>
  <c r="G45" i="280"/>
  <c r="G43" i="280"/>
  <c r="G45" i="279"/>
  <c r="G44" i="279"/>
  <c r="G43" i="279"/>
  <c r="G44" i="278"/>
  <c r="G43" i="278"/>
  <c r="G45" i="278"/>
  <c r="H46" i="266"/>
  <c r="H48" i="266" s="1"/>
  <c r="E283" i="24" s="1"/>
  <c r="G44" i="261"/>
  <c r="G45" i="261"/>
  <c r="G43" i="261"/>
  <c r="G45" i="108"/>
  <c r="G43" i="108"/>
  <c r="G44" i="108"/>
  <c r="G43" i="260"/>
  <c r="G45" i="260"/>
  <c r="G44" i="260"/>
  <c r="G44" i="247"/>
  <c r="G45" i="247"/>
  <c r="G43" i="247"/>
  <c r="H46" i="302"/>
  <c r="H48" i="302" s="1"/>
  <c r="E325" i="24" s="1"/>
  <c r="H46" i="301"/>
  <c r="H48" i="301" s="1"/>
  <c r="E324" i="24" s="1"/>
  <c r="G44" i="262"/>
  <c r="G43" i="262"/>
  <c r="G45" i="262"/>
  <c r="G44" i="248"/>
  <c r="G43" i="248"/>
  <c r="G45" i="248"/>
  <c r="G45" i="267"/>
  <c r="G43" i="267"/>
  <c r="G44" i="267"/>
  <c r="H18" i="188"/>
  <c r="H40" i="188" s="1"/>
  <c r="G44" i="188" s="1"/>
  <c r="G44" i="238"/>
  <c r="G45" i="238"/>
  <c r="G43" i="238"/>
  <c r="G44" i="235"/>
  <c r="G43" i="235"/>
  <c r="G45" i="235"/>
  <c r="G44" i="236"/>
  <c r="G45" i="236"/>
  <c r="G43" i="236"/>
  <c r="G45" i="239"/>
  <c r="G43" i="239"/>
  <c r="G44" i="239"/>
  <c r="G44" i="237"/>
  <c r="G45" i="237"/>
  <c r="G43" i="237"/>
  <c r="G44" i="241"/>
  <c r="G45" i="241"/>
  <c r="G43" i="241"/>
  <c r="G43" i="240"/>
  <c r="G45" i="240"/>
  <c r="G44" i="240"/>
  <c r="H18" i="185"/>
  <c r="H40" i="185" s="1"/>
  <c r="G44" i="185" s="1"/>
  <c r="H18" i="189"/>
  <c r="H40" i="189" s="1"/>
  <c r="G44" i="189" s="1"/>
  <c r="G45" i="208"/>
  <c r="G43" i="208"/>
  <c r="G44" i="208"/>
  <c r="G43" i="207"/>
  <c r="G45" i="207"/>
  <c r="G44" i="207"/>
  <c r="G44" i="209"/>
  <c r="G43" i="209"/>
  <c r="G45" i="209"/>
  <c r="G44" i="203"/>
  <c r="G43" i="203"/>
  <c r="G45" i="203"/>
  <c r="G43" i="211"/>
  <c r="G45" i="211"/>
  <c r="G44" i="211"/>
  <c r="G43" i="202"/>
  <c r="G44" i="202"/>
  <c r="G45" i="202"/>
  <c r="G45" i="210"/>
  <c r="G43" i="210"/>
  <c r="G44" i="210"/>
  <c r="G44" i="205"/>
  <c r="G43" i="205"/>
  <c r="G45" i="205"/>
  <c r="G44" i="212"/>
  <c r="G45" i="212"/>
  <c r="G43" i="212"/>
  <c r="G44" i="206"/>
  <c r="G43" i="206"/>
  <c r="G45" i="206"/>
  <c r="G45" i="192"/>
  <c r="G44" i="192"/>
  <c r="G43" i="192"/>
  <c r="H18" i="171"/>
  <c r="H40" i="171" s="1"/>
  <c r="G45" i="171" s="1"/>
  <c r="H18" i="174"/>
  <c r="H40" i="174" s="1"/>
  <c r="H18" i="186"/>
  <c r="H40" i="186" s="1"/>
  <c r="G44" i="186" s="1"/>
  <c r="G43" i="204"/>
  <c r="G44" i="204"/>
  <c r="G45" i="204"/>
  <c r="G45" i="190"/>
  <c r="G43" i="190"/>
  <c r="G44" i="190"/>
  <c r="G44" i="201"/>
  <c r="G43" i="201"/>
  <c r="G45" i="201"/>
  <c r="G44" i="200"/>
  <c r="G45" i="200"/>
  <c r="G43" i="200"/>
  <c r="G44" i="199"/>
  <c r="G43" i="199"/>
  <c r="G45" i="199"/>
  <c r="G44" i="198"/>
  <c r="G45" i="198"/>
  <c r="G43" i="198"/>
  <c r="G43" i="197"/>
  <c r="G44" i="197"/>
  <c r="G45" i="197"/>
  <c r="G43" i="196"/>
  <c r="G44" i="196"/>
  <c r="G45" i="196"/>
  <c r="G43" i="195"/>
  <c r="G44" i="195"/>
  <c r="G45" i="195"/>
  <c r="G45" i="194"/>
  <c r="G44" i="194"/>
  <c r="G43" i="194"/>
  <c r="G43" i="193"/>
  <c r="G44" i="193"/>
  <c r="G45" i="193"/>
  <c r="G44" i="191"/>
  <c r="G43" i="191"/>
  <c r="G45" i="191"/>
  <c r="H18" i="175"/>
  <c r="H40" i="175" s="1"/>
  <c r="G44" i="175" s="1"/>
  <c r="G43" i="187"/>
  <c r="G45" i="187"/>
  <c r="G44" i="187"/>
  <c r="H18" i="173"/>
  <c r="H40" i="173" s="1"/>
  <c r="G45" i="173" s="1"/>
  <c r="H18" i="172"/>
  <c r="H40" i="172" s="1"/>
  <c r="H18" i="184"/>
  <c r="H40" i="184" s="1"/>
  <c r="G44" i="184" s="1"/>
  <c r="G43" i="170"/>
  <c r="G44" i="170"/>
  <c r="G45" i="170"/>
  <c r="H18" i="183"/>
  <c r="H40" i="183" s="1"/>
  <c r="G44" i="183" s="1"/>
  <c r="G45" i="169"/>
  <c r="G43" i="169"/>
  <c r="G44" i="169"/>
  <c r="G44" i="167"/>
  <c r="G45" i="167"/>
  <c r="G43" i="167"/>
  <c r="H18" i="166"/>
  <c r="H40" i="166" s="1"/>
  <c r="G44" i="168"/>
  <c r="G45" i="168"/>
  <c r="G43" i="168"/>
  <c r="G44" i="165"/>
  <c r="G43" i="165"/>
  <c r="G45" i="165"/>
  <c r="H18" i="164"/>
  <c r="H40" i="164" s="1"/>
  <c r="H18" i="163"/>
  <c r="H40" i="163" s="1"/>
  <c r="G45" i="163" s="1"/>
  <c r="H18" i="162"/>
  <c r="H40" i="162" s="1"/>
  <c r="G44" i="162" s="1"/>
  <c r="H17" i="161"/>
  <c r="H39" i="161" s="1"/>
  <c r="G43" i="160"/>
  <c r="G44" i="160"/>
  <c r="G42" i="160"/>
  <c r="H17" i="159"/>
  <c r="H39" i="159" s="1"/>
  <c r="G42" i="159" s="1"/>
  <c r="H18" i="158"/>
  <c r="H40" i="158" s="1"/>
  <c r="H18" i="157"/>
  <c r="H40" i="157" s="1"/>
  <c r="G44" i="157" s="1"/>
  <c r="H18" i="156"/>
  <c r="H40" i="156" s="1"/>
  <c r="G44" i="156" s="1"/>
  <c r="H18" i="137"/>
  <c r="H40" i="137" s="1"/>
  <c r="H18" i="155"/>
  <c r="H40" i="155" s="1"/>
  <c r="G44" i="155" s="1"/>
  <c r="H18" i="154"/>
  <c r="H40" i="154" s="1"/>
  <c r="G44" i="154" s="1"/>
  <c r="H18" i="153"/>
  <c r="H40" i="153" s="1"/>
  <c r="G43" i="143"/>
  <c r="G44" i="143"/>
  <c r="G45" i="143"/>
  <c r="G45" i="142"/>
  <c r="G43" i="142"/>
  <c r="G44" i="142"/>
  <c r="G45" i="141"/>
  <c r="G43" i="141"/>
  <c r="G44" i="141"/>
  <c r="H18" i="140"/>
  <c r="H40" i="140" s="1"/>
  <c r="H18" i="139"/>
  <c r="H40" i="139" s="1"/>
  <c r="G45" i="139" s="1"/>
  <c r="H18" i="138"/>
  <c r="H40" i="138" s="1"/>
  <c r="H18" i="136"/>
  <c r="H40" i="136" s="1"/>
  <c r="G43" i="136" s="1"/>
  <c r="H18" i="135"/>
  <c r="H40" i="135" s="1"/>
  <c r="G43" i="300"/>
  <c r="G44" i="300"/>
  <c r="G45" i="300"/>
  <c r="G45" i="299"/>
  <c r="G44" i="299"/>
  <c r="G43" i="299"/>
  <c r="G43" i="298"/>
  <c r="G44" i="298"/>
  <c r="G45" i="298"/>
  <c r="G45" i="101"/>
  <c r="G44" i="101"/>
  <c r="G43" i="101"/>
  <c r="G43" i="296"/>
  <c r="G44" i="296"/>
  <c r="G45" i="296"/>
  <c r="G44" i="58"/>
  <c r="G45" i="58"/>
  <c r="G43" i="58"/>
  <c r="H46" i="52"/>
  <c r="H48" i="52" s="1"/>
  <c r="E25" i="24" s="1"/>
  <c r="H18" i="148"/>
  <c r="H40" i="148" s="1"/>
  <c r="G45" i="148" s="1"/>
  <c r="G44" i="397"/>
  <c r="G45" i="397"/>
  <c r="G43" i="397"/>
  <c r="H46" i="50"/>
  <c r="H48" i="50" s="1"/>
  <c r="E22" i="24" s="1"/>
  <c r="G45" i="46"/>
  <c r="G43" i="46"/>
  <c r="G44" i="46"/>
  <c r="G43" i="100"/>
  <c r="G45" i="100"/>
  <c r="G46" i="288"/>
  <c r="G48" i="288"/>
  <c r="H18" i="97"/>
  <c r="H41" i="97" s="1"/>
  <c r="H18" i="96"/>
  <c r="H41" i="96" s="1"/>
  <c r="H18" i="95"/>
  <c r="H43" i="95" s="1"/>
  <c r="H43" i="94"/>
  <c r="G46" i="404"/>
  <c r="G48" i="404"/>
  <c r="G47" i="404"/>
  <c r="G46" i="403"/>
  <c r="G48" i="403"/>
  <c r="G47" i="403"/>
  <c r="H45" i="304"/>
  <c r="H47" i="304" s="1"/>
  <c r="E336" i="24" s="1"/>
  <c r="H46" i="398"/>
  <c r="H48" i="398" s="1"/>
  <c r="H45" i="303"/>
  <c r="H47" i="303" s="1"/>
  <c r="E335" i="24" s="1"/>
  <c r="G44" i="275"/>
  <c r="G46" i="275"/>
  <c r="G45" i="275"/>
  <c r="G45" i="274"/>
  <c r="G46" i="274"/>
  <c r="G44" i="274"/>
  <c r="G46" i="273"/>
  <c r="G45" i="273"/>
  <c r="G44" i="273"/>
  <c r="G44" i="272"/>
  <c r="G46" i="272"/>
  <c r="G45" i="272"/>
  <c r="G43" i="271"/>
  <c r="G45" i="271"/>
  <c r="G44" i="271"/>
  <c r="G44" i="270"/>
  <c r="G42" i="270"/>
  <c r="G43" i="270"/>
  <c r="G42" i="269"/>
  <c r="G43" i="269"/>
  <c r="G44" i="269"/>
  <c r="G43" i="268"/>
  <c r="G42" i="268"/>
  <c r="G44" i="268"/>
  <c r="H45" i="321"/>
  <c r="H47" i="321" s="1"/>
  <c r="E344" i="24" s="1"/>
  <c r="H45" i="352"/>
  <c r="H47" i="352" s="1"/>
  <c r="E395" i="24" s="1"/>
  <c r="H17" i="176"/>
  <c r="H39" i="176" s="1"/>
  <c r="G44" i="176" s="1"/>
  <c r="H17" i="177"/>
  <c r="H39" i="177" s="1"/>
  <c r="G44" i="177" s="1"/>
  <c r="H17" i="178"/>
  <c r="H39" i="178" s="1"/>
  <c r="G42" i="178" s="1"/>
  <c r="H17" i="180"/>
  <c r="H39" i="180" s="1"/>
  <c r="G43" i="180" s="1"/>
  <c r="H49" i="402"/>
  <c r="H51" i="402" s="1"/>
  <c r="E80" i="24" s="1"/>
  <c r="G43" i="362"/>
  <c r="G45" i="362"/>
  <c r="G44" i="362"/>
  <c r="G45" i="359"/>
  <c r="G44" i="359"/>
  <c r="G43" i="359"/>
  <c r="G44" i="383"/>
  <c r="G43" i="383"/>
  <c r="G42" i="383"/>
  <c r="G43" i="358"/>
  <c r="G44" i="358"/>
  <c r="G45" i="358"/>
  <c r="G43" i="384"/>
  <c r="G44" i="384"/>
  <c r="G42" i="384"/>
  <c r="H18" i="127"/>
  <c r="H40" i="127" s="1"/>
  <c r="G43" i="127" s="1"/>
  <c r="H18" i="128"/>
  <c r="H40" i="128" s="1"/>
  <c r="G44" i="128" s="1"/>
  <c r="H18" i="131"/>
  <c r="H40" i="131" s="1"/>
  <c r="G44" i="131" s="1"/>
  <c r="H18" i="132"/>
  <c r="H40" i="132" s="1"/>
  <c r="G45" i="132" s="1"/>
  <c r="H18" i="134"/>
  <c r="H40" i="134" s="1"/>
  <c r="G43" i="134" s="1"/>
  <c r="H49" i="401"/>
  <c r="H51" i="401" s="1"/>
  <c r="E78" i="24" s="1"/>
  <c r="H17" i="182"/>
  <c r="H39" i="182" s="1"/>
  <c r="G42" i="182" s="1"/>
  <c r="H17" i="181"/>
  <c r="H39" i="181" s="1"/>
  <c r="H17" i="179"/>
  <c r="H39" i="179" s="1"/>
  <c r="H18" i="152"/>
  <c r="H40" i="152" s="1"/>
  <c r="G43" i="152" s="1"/>
  <c r="H18" i="151"/>
  <c r="H40" i="151" s="1"/>
  <c r="G44" i="151" s="1"/>
  <c r="H18" i="150"/>
  <c r="H40" i="150" s="1"/>
  <c r="H18" i="149"/>
  <c r="H40" i="149" s="1"/>
  <c r="G43" i="149" s="1"/>
  <c r="H18" i="130"/>
  <c r="H40" i="130" s="1"/>
  <c r="G45" i="130" s="1"/>
  <c r="H18" i="129"/>
  <c r="H40" i="129" s="1"/>
  <c r="G44" i="129" s="1"/>
  <c r="G44" i="147"/>
  <c r="G43" i="147"/>
  <c r="G45" i="147"/>
  <c r="G44" i="146"/>
  <c r="G43" i="146"/>
  <c r="G45" i="146"/>
  <c r="G43" i="145"/>
  <c r="G44" i="145"/>
  <c r="G45" i="145"/>
  <c r="G45" i="144"/>
  <c r="G44" i="144"/>
  <c r="G43" i="144"/>
  <c r="H18" i="133"/>
  <c r="H40" i="133" s="1"/>
  <c r="H18" i="126"/>
  <c r="H40" i="126" s="1"/>
  <c r="G43" i="356"/>
  <c r="G45" i="356"/>
  <c r="G44" i="356"/>
  <c r="G45" i="361"/>
  <c r="G44" i="361"/>
  <c r="G43" i="361"/>
  <c r="G45" i="357"/>
  <c r="G44" i="357"/>
  <c r="G43" i="357"/>
  <c r="G42" i="381"/>
  <c r="G43" i="381"/>
  <c r="G44" i="381"/>
  <c r="H45" i="399"/>
  <c r="H47" i="399" s="1"/>
  <c r="E342" i="24" s="1"/>
  <c r="G44" i="355"/>
  <c r="G45" i="355"/>
  <c r="G43" i="355"/>
  <c r="G43" i="354"/>
  <c r="G44" i="354"/>
  <c r="G42" i="354"/>
  <c r="G45" i="353"/>
  <c r="G43" i="353"/>
  <c r="G44" i="353"/>
  <c r="G42" i="379"/>
  <c r="G43" i="379"/>
  <c r="G42" i="378"/>
  <c r="G43" i="378"/>
  <c r="G44" i="378"/>
  <c r="G43" i="377"/>
  <c r="G42" i="377"/>
  <c r="G44" i="377"/>
  <c r="G45" i="376"/>
  <c r="G44" i="376"/>
  <c r="G43" i="376"/>
  <c r="G44" i="375"/>
  <c r="G45" i="375"/>
  <c r="G43" i="375"/>
  <c r="G43" i="374"/>
  <c r="G44" i="374"/>
  <c r="G45" i="374"/>
  <c r="G44" i="331"/>
  <c r="G43" i="331"/>
  <c r="G42" i="331"/>
  <c r="G44" i="330"/>
  <c r="G43" i="330"/>
  <c r="G42" i="330"/>
  <c r="H46" i="327"/>
  <c r="H48" i="327" s="1"/>
  <c r="E349" i="24" s="1"/>
  <c r="H46" i="326"/>
  <c r="H48" i="326" s="1"/>
  <c r="E348" i="24" s="1"/>
  <c r="H46" i="264"/>
  <c r="H48" i="264" s="1"/>
  <c r="E280" i="24" s="1"/>
  <c r="G48" i="87"/>
  <c r="H45" i="322"/>
  <c r="H47" i="322" s="1"/>
  <c r="E345" i="24" s="1"/>
  <c r="G43" i="325"/>
  <c r="G45" i="325"/>
  <c r="G44" i="325"/>
  <c r="H45" i="320"/>
  <c r="H47" i="320" s="1"/>
  <c r="E343" i="24" s="1"/>
  <c r="G44" i="295"/>
  <c r="G46" i="295"/>
  <c r="G44" i="216"/>
  <c r="G42" i="216"/>
  <c r="G43" i="216"/>
  <c r="G44" i="224"/>
  <c r="G42" i="224"/>
  <c r="G43" i="224"/>
  <c r="G43" i="124"/>
  <c r="G45" i="124"/>
  <c r="G44" i="124"/>
  <c r="G44" i="217"/>
  <c r="G42" i="217"/>
  <c r="G43" i="217"/>
  <c r="G44" i="218"/>
  <c r="G42" i="218"/>
  <c r="G43" i="218"/>
  <c r="G43" i="221"/>
  <c r="G44" i="221"/>
  <c r="G42" i="221"/>
  <c r="G42" i="259"/>
  <c r="G44" i="259"/>
  <c r="G43" i="259"/>
  <c r="G44" i="220"/>
  <c r="G43" i="220"/>
  <c r="G42" i="220"/>
  <c r="G42" i="213"/>
  <c r="G44" i="213"/>
  <c r="G43" i="213"/>
  <c r="G44" i="215"/>
  <c r="G42" i="215"/>
  <c r="G43" i="215"/>
  <c r="G43" i="223"/>
  <c r="G44" i="223"/>
  <c r="G42" i="223"/>
  <c r="G42" i="222"/>
  <c r="G43" i="222"/>
  <c r="G44" i="222"/>
  <c r="H41" i="92"/>
  <c r="G43" i="232"/>
  <c r="G45" i="232"/>
  <c r="G44" i="232"/>
  <c r="G43" i="231"/>
  <c r="G45" i="231"/>
  <c r="G44" i="231"/>
  <c r="G43" i="230"/>
  <c r="G45" i="230"/>
  <c r="G44" i="230"/>
  <c r="G44" i="229"/>
  <c r="G45" i="229"/>
  <c r="G43" i="229"/>
  <c r="G44" i="227"/>
  <c r="G45" i="227"/>
  <c r="G43" i="227"/>
  <c r="G42" i="228"/>
  <c r="G43" i="228"/>
  <c r="G44" i="228"/>
  <c r="G44" i="226"/>
  <c r="G42" i="226"/>
  <c r="G43" i="226"/>
  <c r="G44" i="225"/>
  <c r="G43" i="225"/>
  <c r="G42" i="225"/>
  <c r="G44" i="219"/>
  <c r="G42" i="219"/>
  <c r="G43" i="219"/>
  <c r="G44" i="214"/>
  <c r="G43" i="214"/>
  <c r="G42" i="214"/>
  <c r="G43" i="294"/>
  <c r="G44" i="294"/>
  <c r="G45" i="294"/>
  <c r="G43" i="293"/>
  <c r="G44" i="293"/>
  <c r="G45" i="293"/>
  <c r="G45" i="295"/>
  <c r="G43" i="125"/>
  <c r="G44" i="125"/>
  <c r="G45" i="125"/>
  <c r="H46" i="37"/>
  <c r="H48" i="37" s="1"/>
  <c r="E12" i="24" s="1"/>
  <c r="H46" i="49"/>
  <c r="H48" i="49" s="1"/>
  <c r="E21" i="24" s="1"/>
  <c r="H45" i="40"/>
  <c r="H47" i="40" s="1"/>
  <c r="E15" i="24" s="1"/>
  <c r="H46" i="62"/>
  <c r="H48" i="62" s="1"/>
  <c r="E35" i="24" s="1"/>
  <c r="H46" i="64"/>
  <c r="H48" i="64" s="1"/>
  <c r="E37" i="24" s="1"/>
  <c r="H46" i="63"/>
  <c r="H48" i="63" s="1"/>
  <c r="E36" i="24" s="1"/>
  <c r="H46" i="59"/>
  <c r="H48" i="59" s="1"/>
  <c r="E33" i="24" s="1"/>
  <c r="G44" i="57"/>
  <c r="G43" i="57"/>
  <c r="G45" i="57"/>
  <c r="G48" i="89"/>
  <c r="G46" i="89"/>
  <c r="G47" i="89"/>
  <c r="G48" i="88"/>
  <c r="G46" i="88"/>
  <c r="G47" i="88"/>
  <c r="G47" i="87"/>
  <c r="H45" i="35"/>
  <c r="H47" i="35" s="1"/>
  <c r="H46" i="103" l="1"/>
  <c r="H48" i="103" s="1"/>
  <c r="E90" i="24" s="1"/>
  <c r="G33" i="24"/>
  <c r="H46" i="324"/>
  <c r="H48" i="324" s="1"/>
  <c r="E346" i="24" s="1"/>
  <c r="G337" i="24"/>
  <c r="G44" i="360"/>
  <c r="G43" i="360"/>
  <c r="G280" i="24"/>
  <c r="G197" i="24"/>
  <c r="G326" i="24"/>
  <c r="G265" i="24"/>
  <c r="G41" i="44"/>
  <c r="G40" i="44"/>
  <c r="G42" i="44"/>
  <c r="G348" i="24"/>
  <c r="G324" i="24"/>
  <c r="G103" i="24"/>
  <c r="G101" i="24"/>
  <c r="G343" i="24"/>
  <c r="G336" i="24"/>
  <c r="G325" i="24"/>
  <c r="G98" i="24"/>
  <c r="G226" i="24"/>
  <c r="G107" i="24"/>
  <c r="G327" i="24"/>
  <c r="G15" i="24"/>
  <c r="G349" i="24"/>
  <c r="G105" i="24"/>
  <c r="G108" i="24"/>
  <c r="G21" i="24"/>
  <c r="G344" i="24"/>
  <c r="G25" i="24"/>
  <c r="G102" i="24"/>
  <c r="G99" i="24"/>
  <c r="G92" i="24"/>
  <c r="G328" i="24"/>
  <c r="G12" i="24"/>
  <c r="G342" i="24"/>
  <c r="G100" i="24"/>
  <c r="G106" i="24"/>
  <c r="G24" i="24"/>
  <c r="G345" i="24"/>
  <c r="G78" i="24"/>
  <c r="G80" i="24"/>
  <c r="G22" i="24"/>
  <c r="G28" i="24"/>
  <c r="G264" i="24"/>
  <c r="G329" i="24"/>
  <c r="G211" i="24"/>
  <c r="G283" i="24"/>
  <c r="G235" i="24"/>
  <c r="G335" i="24"/>
  <c r="G49" i="24"/>
  <c r="G45" i="24"/>
  <c r="G41" i="24"/>
  <c r="G37" i="24"/>
  <c r="G44" i="24"/>
  <c r="G36" i="24"/>
  <c r="G48" i="24"/>
  <c r="G40" i="24"/>
  <c r="G43" i="24"/>
  <c r="G35" i="24"/>
  <c r="G47" i="24"/>
  <c r="G39" i="24"/>
  <c r="G387" i="24"/>
  <c r="G389" i="24"/>
  <c r="G395" i="24"/>
  <c r="G416" i="24"/>
  <c r="E27" i="24"/>
  <c r="G45" i="185"/>
  <c r="H46" i="307"/>
  <c r="H48" i="307" s="1"/>
  <c r="E339" i="24" s="1"/>
  <c r="H46" i="194"/>
  <c r="H48" i="194" s="1"/>
  <c r="E198" i="24" s="1"/>
  <c r="H46" i="206"/>
  <c r="H48" i="206" s="1"/>
  <c r="E213" i="24" s="1"/>
  <c r="H46" i="205"/>
  <c r="H48" i="205" s="1"/>
  <c r="E212" i="24" s="1"/>
  <c r="H46" i="198"/>
  <c r="H48" i="198" s="1"/>
  <c r="E202" i="24" s="1"/>
  <c r="H46" i="203"/>
  <c r="H48" i="203" s="1"/>
  <c r="E209" i="24" s="1"/>
  <c r="H46" i="207"/>
  <c r="H48" i="207" s="1"/>
  <c r="E214" i="24" s="1"/>
  <c r="H46" i="208"/>
  <c r="H48" i="208" s="1"/>
  <c r="E215" i="24" s="1"/>
  <c r="H46" i="258"/>
  <c r="H48" i="258" s="1"/>
  <c r="E273" i="24" s="1"/>
  <c r="H46" i="347"/>
  <c r="H48" i="347" s="1"/>
  <c r="E388" i="24" s="1"/>
  <c r="H46" i="329"/>
  <c r="H48" i="329" s="1"/>
  <c r="E351" i="24" s="1"/>
  <c r="H46" i="328"/>
  <c r="H48" i="328" s="1"/>
  <c r="E350" i="24" s="1"/>
  <c r="H46" i="349"/>
  <c r="H48" i="349" s="1"/>
  <c r="E390" i="24" s="1"/>
  <c r="H46" i="196"/>
  <c r="H48" i="196" s="1"/>
  <c r="E200" i="24" s="1"/>
  <c r="H46" i="260"/>
  <c r="H48" i="260" s="1"/>
  <c r="E276" i="24" s="1"/>
  <c r="H46" i="256"/>
  <c r="H48" i="256" s="1"/>
  <c r="E271" i="24" s="1"/>
  <c r="H46" i="193"/>
  <c r="H48" i="193" s="1"/>
  <c r="E196" i="24" s="1"/>
  <c r="H46" i="195"/>
  <c r="H48" i="195" s="1"/>
  <c r="E199" i="24" s="1"/>
  <c r="H46" i="204"/>
  <c r="H48" i="204" s="1"/>
  <c r="E210" i="24" s="1"/>
  <c r="H46" i="306"/>
  <c r="H48" i="306" s="1"/>
  <c r="E338" i="24" s="1"/>
  <c r="H46" i="308"/>
  <c r="H48" i="308" s="1"/>
  <c r="E340" i="24" s="1"/>
  <c r="H45" i="380"/>
  <c r="H47" i="380" s="1"/>
  <c r="E414" i="24" s="1"/>
  <c r="H46" i="296"/>
  <c r="H48" i="296" s="1"/>
  <c r="E320" i="24" s="1"/>
  <c r="G43" i="148"/>
  <c r="H46" i="190"/>
  <c r="H48" i="190" s="1"/>
  <c r="E193" i="24" s="1"/>
  <c r="H46" i="192"/>
  <c r="H48" i="192" s="1"/>
  <c r="E195" i="24" s="1"/>
  <c r="H46" i="202"/>
  <c r="H48" i="202" s="1"/>
  <c r="E208" i="24" s="1"/>
  <c r="H46" i="257"/>
  <c r="H48" i="257" s="1"/>
  <c r="E272" i="24" s="1"/>
  <c r="H46" i="357"/>
  <c r="H48" i="357" s="1"/>
  <c r="E400" i="24" s="1"/>
  <c r="H46" i="197"/>
  <c r="H48" i="197" s="1"/>
  <c r="E201" i="24" s="1"/>
  <c r="G44" i="148"/>
  <c r="H46" i="276"/>
  <c r="H48" i="276" s="1"/>
  <c r="E293" i="24" s="1"/>
  <c r="H46" i="286"/>
  <c r="H48" i="286" s="1"/>
  <c r="E303" i="24" s="1"/>
  <c r="H46" i="281"/>
  <c r="H48" i="281" s="1"/>
  <c r="E298" i="24" s="1"/>
  <c r="H46" i="236"/>
  <c r="H48" i="236" s="1"/>
  <c r="E251" i="24" s="1"/>
  <c r="H46" i="267"/>
  <c r="H48" i="267" s="1"/>
  <c r="E284" i="24" s="1"/>
  <c r="H46" i="247"/>
  <c r="H48" i="247" s="1"/>
  <c r="E262" i="24" s="1"/>
  <c r="H46" i="279"/>
  <c r="H48" i="279" s="1"/>
  <c r="E296" i="24" s="1"/>
  <c r="H46" i="284"/>
  <c r="H48" i="284" s="1"/>
  <c r="E301" i="24" s="1"/>
  <c r="H46" i="282"/>
  <c r="H48" i="282" s="1"/>
  <c r="E299" i="24" s="1"/>
  <c r="H46" i="285"/>
  <c r="H48" i="285" s="1"/>
  <c r="E302" i="24" s="1"/>
  <c r="H46" i="277"/>
  <c r="H48" i="277" s="1"/>
  <c r="E294" i="24" s="1"/>
  <c r="H46" i="283"/>
  <c r="H48" i="283" s="1"/>
  <c r="E300" i="24" s="1"/>
  <c r="H46" i="287"/>
  <c r="H48" i="287" s="1"/>
  <c r="E304" i="24" s="1"/>
  <c r="H46" i="262"/>
  <c r="H48" i="262" s="1"/>
  <c r="E278" i="24" s="1"/>
  <c r="H46" i="235"/>
  <c r="H48" i="235" s="1"/>
  <c r="E250" i="24" s="1"/>
  <c r="H46" i="261"/>
  <c r="H48" i="261" s="1"/>
  <c r="E277" i="24" s="1"/>
  <c r="H46" i="278"/>
  <c r="H48" i="278" s="1"/>
  <c r="E295" i="24" s="1"/>
  <c r="H46" i="248"/>
  <c r="H48" i="248" s="1"/>
  <c r="E263" i="24" s="1"/>
  <c r="E84" i="24"/>
  <c r="H46" i="280"/>
  <c r="H48" i="280" s="1"/>
  <c r="E297" i="24" s="1"/>
  <c r="H46" i="142"/>
  <c r="H48" i="142" s="1"/>
  <c r="E133" i="24" s="1"/>
  <c r="H45" i="160"/>
  <c r="H47" i="160" s="1"/>
  <c r="E155" i="24" s="1"/>
  <c r="H46" i="165"/>
  <c r="H48" i="165" s="1"/>
  <c r="E162" i="24" s="1"/>
  <c r="H46" i="168"/>
  <c r="H48" i="168" s="1"/>
  <c r="E165" i="24" s="1"/>
  <c r="H46" i="167"/>
  <c r="H48" i="167" s="1"/>
  <c r="E164" i="24" s="1"/>
  <c r="H46" i="170"/>
  <c r="H48" i="170" s="1"/>
  <c r="E168" i="24" s="1"/>
  <c r="H46" i="210"/>
  <c r="H48" i="210" s="1"/>
  <c r="E217" i="24" s="1"/>
  <c r="H46" i="240"/>
  <c r="H48" i="240" s="1"/>
  <c r="E255" i="24" s="1"/>
  <c r="H46" i="241"/>
  <c r="H48" i="241" s="1"/>
  <c r="E256" i="24" s="1"/>
  <c r="H46" i="239"/>
  <c r="H48" i="239" s="1"/>
  <c r="E254" i="24" s="1"/>
  <c r="H46" i="238"/>
  <c r="H48" i="238" s="1"/>
  <c r="E253" i="24" s="1"/>
  <c r="G43" i="186"/>
  <c r="G45" i="189"/>
  <c r="H46" i="300"/>
  <c r="H48" i="300" s="1"/>
  <c r="E323" i="24" s="1"/>
  <c r="G43" i="189"/>
  <c r="G45" i="188"/>
  <c r="H46" i="108"/>
  <c r="H48" i="108" s="1"/>
  <c r="E95" i="24" s="1"/>
  <c r="H46" i="237"/>
  <c r="H48" i="237" s="1"/>
  <c r="E252" i="24" s="1"/>
  <c r="H46" i="141"/>
  <c r="H48" i="141" s="1"/>
  <c r="E132" i="24" s="1"/>
  <c r="H46" i="143"/>
  <c r="H48" i="143" s="1"/>
  <c r="E134" i="24" s="1"/>
  <c r="H46" i="211"/>
  <c r="H48" i="211" s="1"/>
  <c r="E218" i="24" s="1"/>
  <c r="G43" i="171"/>
  <c r="G43" i="185"/>
  <c r="G45" i="186"/>
  <c r="H46" i="200"/>
  <c r="H48" i="200" s="1"/>
  <c r="E204" i="24" s="1"/>
  <c r="H46" i="199"/>
  <c r="H48" i="199" s="1"/>
  <c r="E203" i="24" s="1"/>
  <c r="H46" i="201"/>
  <c r="H48" i="201" s="1"/>
  <c r="E205" i="24" s="1"/>
  <c r="G43" i="188"/>
  <c r="H45" i="384"/>
  <c r="H47" i="384" s="1"/>
  <c r="E418" i="24" s="1"/>
  <c r="H45" i="383"/>
  <c r="H47" i="383" s="1"/>
  <c r="E417" i="24" s="1"/>
  <c r="H45" i="381"/>
  <c r="H47" i="381" s="1"/>
  <c r="E415" i="24" s="1"/>
  <c r="H46" i="299"/>
  <c r="H48" i="299" s="1"/>
  <c r="E322" i="24" s="1"/>
  <c r="H46" i="298"/>
  <c r="H48" i="298" s="1"/>
  <c r="E321" i="24" s="1"/>
  <c r="H46" i="101"/>
  <c r="H48" i="101" s="1"/>
  <c r="E88" i="24" s="1"/>
  <c r="H46" i="212"/>
  <c r="H48" i="212" s="1"/>
  <c r="E219" i="24" s="1"/>
  <c r="H46" i="209"/>
  <c r="H48" i="209" s="1"/>
  <c r="E216" i="24" s="1"/>
  <c r="G44" i="171"/>
  <c r="G45" i="184"/>
  <c r="G43" i="173"/>
  <c r="G44" i="174"/>
  <c r="G45" i="174"/>
  <c r="G43" i="174"/>
  <c r="G45" i="154"/>
  <c r="H46" i="169"/>
  <c r="H48" i="169" s="1"/>
  <c r="E167" i="24" s="1"/>
  <c r="G45" i="183"/>
  <c r="G45" i="175"/>
  <c r="H46" i="191"/>
  <c r="H48" i="191" s="1"/>
  <c r="E194" i="24" s="1"/>
  <c r="G43" i="175"/>
  <c r="H46" i="187"/>
  <c r="H48" i="187" s="1"/>
  <c r="E188" i="24" s="1"/>
  <c r="G44" i="173"/>
  <c r="G44" i="172"/>
  <c r="G45" i="172"/>
  <c r="G43" i="172"/>
  <c r="G43" i="184"/>
  <c r="G43" i="183"/>
  <c r="G44" i="166"/>
  <c r="G45" i="166"/>
  <c r="G43" i="166"/>
  <c r="G44" i="164"/>
  <c r="G45" i="164"/>
  <c r="G43" i="164"/>
  <c r="G43" i="163"/>
  <c r="G44" i="163"/>
  <c r="G45" i="162"/>
  <c r="G43" i="162"/>
  <c r="G44" i="161"/>
  <c r="G43" i="161"/>
  <c r="G42" i="161"/>
  <c r="G43" i="159"/>
  <c r="G44" i="159"/>
  <c r="G45" i="157"/>
  <c r="G44" i="158"/>
  <c r="G43" i="158"/>
  <c r="G45" i="158"/>
  <c r="G43" i="157"/>
  <c r="G43" i="156"/>
  <c r="G45" i="156"/>
  <c r="G45" i="137"/>
  <c r="G43" i="137"/>
  <c r="G44" i="137"/>
  <c r="G45" i="155"/>
  <c r="G43" i="155"/>
  <c r="G43" i="154"/>
  <c r="H46" i="154" s="1"/>
  <c r="H48" i="154" s="1"/>
  <c r="E149" i="24" s="1"/>
  <c r="G43" i="153"/>
  <c r="G44" i="153"/>
  <c r="G45" i="153"/>
  <c r="H46" i="147"/>
  <c r="H48" i="147" s="1"/>
  <c r="E140" i="24" s="1"/>
  <c r="H46" i="146"/>
  <c r="H48" i="146" s="1"/>
  <c r="E139" i="24" s="1"/>
  <c r="G45" i="140"/>
  <c r="G44" i="140"/>
  <c r="G43" i="140"/>
  <c r="G43" i="139"/>
  <c r="G44" i="139"/>
  <c r="G45" i="138"/>
  <c r="G43" i="138"/>
  <c r="G44" i="138"/>
  <c r="G45" i="136"/>
  <c r="G44" i="136"/>
  <c r="G44" i="135"/>
  <c r="G43" i="135"/>
  <c r="G45" i="135"/>
  <c r="H46" i="58"/>
  <c r="H48" i="58" s="1"/>
  <c r="E32" i="24" s="1"/>
  <c r="H46" i="356"/>
  <c r="H48" i="356" s="1"/>
  <c r="E399" i="24" s="1"/>
  <c r="G25" i="252"/>
  <c r="G20" i="123"/>
  <c r="G24" i="251"/>
  <c r="H46" i="397"/>
  <c r="H48" i="397" s="1"/>
  <c r="G43" i="176"/>
  <c r="H46" i="374"/>
  <c r="H48" i="374" s="1"/>
  <c r="E408" i="24" s="1"/>
  <c r="G44" i="127"/>
  <c r="G43" i="178"/>
  <c r="G42" i="176"/>
  <c r="G44" i="178"/>
  <c r="H45" i="354"/>
  <c r="H47" i="354" s="1"/>
  <c r="E397" i="24" s="1"/>
  <c r="H46" i="46"/>
  <c r="H48" i="46" s="1"/>
  <c r="E20" i="24" s="1"/>
  <c r="G43" i="131"/>
  <c r="G45" i="134"/>
  <c r="H46" i="100"/>
  <c r="H48" i="100" s="1"/>
  <c r="E87" i="24" s="1"/>
  <c r="H45" i="330"/>
  <c r="H47" i="330" s="1"/>
  <c r="E358" i="24" s="1"/>
  <c r="G45" i="127"/>
  <c r="G45" i="129"/>
  <c r="G44" i="134"/>
  <c r="G42" i="177"/>
  <c r="G44" i="180"/>
  <c r="H49" i="403"/>
  <c r="H51" i="403" s="1"/>
  <c r="H45" i="222"/>
  <c r="H47" i="222" s="1"/>
  <c r="E234" i="24" s="1"/>
  <c r="G44" i="130"/>
  <c r="G44" i="132"/>
  <c r="H46" i="355"/>
  <c r="H48" i="355" s="1"/>
  <c r="E398" i="24" s="1"/>
  <c r="H45" i="377"/>
  <c r="H47" i="377" s="1"/>
  <c r="E411" i="24" s="1"/>
  <c r="H49" i="288"/>
  <c r="H51" i="288" s="1"/>
  <c r="E305" i="24" s="1"/>
  <c r="G45" i="128"/>
  <c r="G43" i="132"/>
  <c r="G43" i="177"/>
  <c r="H49" i="404"/>
  <c r="H51" i="404" s="1"/>
  <c r="E74" i="24" s="1"/>
  <c r="G46" i="95"/>
  <c r="G47" i="95"/>
  <c r="G48" i="95"/>
  <c r="H47" i="272"/>
  <c r="H49" i="272" s="1"/>
  <c r="E289" i="24" s="1"/>
  <c r="H45" i="269"/>
  <c r="H47" i="269" s="1"/>
  <c r="E286" i="24" s="1"/>
  <c r="H47" i="274"/>
  <c r="H49" i="274" s="1"/>
  <c r="E291" i="24" s="1"/>
  <c r="H45" i="270"/>
  <c r="H47" i="270" s="1"/>
  <c r="E287" i="24" s="1"/>
  <c r="G45" i="96"/>
  <c r="G46" i="96"/>
  <c r="G44" i="96"/>
  <c r="G45" i="97"/>
  <c r="G44" i="97"/>
  <c r="G46" i="97"/>
  <c r="G47" i="94"/>
  <c r="G48" i="94"/>
  <c r="G46" i="94"/>
  <c r="H46" i="271"/>
  <c r="H48" i="271" s="1"/>
  <c r="E288" i="24" s="1"/>
  <c r="H47" i="273"/>
  <c r="H49" i="273" s="1"/>
  <c r="E290" i="24" s="1"/>
  <c r="H47" i="275"/>
  <c r="H49" i="275" s="1"/>
  <c r="E292" i="24" s="1"/>
  <c r="H45" i="226"/>
  <c r="H47" i="226" s="1"/>
  <c r="E241" i="24" s="1"/>
  <c r="H45" i="228"/>
  <c r="H47" i="228" s="1"/>
  <c r="E242" i="24" s="1"/>
  <c r="H45" i="268"/>
  <c r="H47" i="268" s="1"/>
  <c r="E285" i="24" s="1"/>
  <c r="H45" i="218"/>
  <c r="H47" i="218" s="1"/>
  <c r="E228" i="24" s="1"/>
  <c r="H45" i="216"/>
  <c r="H47" i="216" s="1"/>
  <c r="E225" i="24" s="1"/>
  <c r="G44" i="182"/>
  <c r="H46" i="358"/>
  <c r="H48" i="358" s="1"/>
  <c r="E401" i="24" s="1"/>
  <c r="H45" i="215"/>
  <c r="H47" i="215" s="1"/>
  <c r="E224" i="24" s="1"/>
  <c r="H45" i="217"/>
  <c r="H47" i="217" s="1"/>
  <c r="E227" i="24" s="1"/>
  <c r="H45" i="331"/>
  <c r="H47" i="331" s="1"/>
  <c r="E359" i="24" s="1"/>
  <c r="G43" i="128"/>
  <c r="G43" i="129"/>
  <c r="G42" i="180"/>
  <c r="G43" i="182"/>
  <c r="H46" i="359"/>
  <c r="H48" i="359" s="1"/>
  <c r="E402" i="24" s="1"/>
  <c r="H46" i="361"/>
  <c r="H48" i="361" s="1"/>
  <c r="E404" i="24" s="1"/>
  <c r="G44" i="149"/>
  <c r="H46" i="362"/>
  <c r="H48" i="362" s="1"/>
  <c r="E405" i="24" s="1"/>
  <c r="G45" i="131"/>
  <c r="H46" i="145"/>
  <c r="H48" i="145" s="1"/>
  <c r="E138" i="24" s="1"/>
  <c r="G45" i="151"/>
  <c r="G44" i="181"/>
  <c r="G43" i="181"/>
  <c r="G42" i="181"/>
  <c r="G44" i="179"/>
  <c r="G42" i="179"/>
  <c r="G43" i="179"/>
  <c r="G44" i="152"/>
  <c r="G45" i="152"/>
  <c r="G43" i="151"/>
  <c r="G43" i="150"/>
  <c r="G45" i="150"/>
  <c r="G44" i="150"/>
  <c r="G45" i="149"/>
  <c r="G43" i="130"/>
  <c r="H46" i="144"/>
  <c r="H48" i="144" s="1"/>
  <c r="E137" i="24" s="1"/>
  <c r="G44" i="133"/>
  <c r="G45" i="133"/>
  <c r="G43" i="133"/>
  <c r="G43" i="126"/>
  <c r="G45" i="126"/>
  <c r="G44" i="126"/>
  <c r="H45" i="379"/>
  <c r="H47" i="379" s="1"/>
  <c r="E413" i="24" s="1"/>
  <c r="H45" i="378"/>
  <c r="H47" i="378" s="1"/>
  <c r="E412" i="24" s="1"/>
  <c r="H46" i="353"/>
  <c r="H48" i="353" s="1"/>
  <c r="E396" i="24" s="1"/>
  <c r="H46" i="376"/>
  <c r="H48" i="376" s="1"/>
  <c r="E410" i="24" s="1"/>
  <c r="H45" i="259"/>
  <c r="H47" i="259" s="1"/>
  <c r="E275" i="24" s="1"/>
  <c r="H46" i="375"/>
  <c r="H48" i="375" s="1"/>
  <c r="E409" i="24" s="1"/>
  <c r="H49" i="87"/>
  <c r="H51" i="87" s="1"/>
  <c r="E70" i="24" s="1"/>
  <c r="H47" i="295"/>
  <c r="H49" i="295" s="1"/>
  <c r="E319" i="24" s="1"/>
  <c r="H45" i="214"/>
  <c r="H47" i="214" s="1"/>
  <c r="E223" i="24" s="1"/>
  <c r="H45" i="219"/>
  <c r="H47" i="219" s="1"/>
  <c r="E229" i="24" s="1"/>
  <c r="H45" i="225"/>
  <c r="H47" i="225" s="1"/>
  <c r="E238" i="24" s="1"/>
  <c r="H45" i="223"/>
  <c r="H47" i="223" s="1"/>
  <c r="E236" i="24" s="1"/>
  <c r="H45" i="220"/>
  <c r="H47" i="220" s="1"/>
  <c r="E232" i="24" s="1"/>
  <c r="H45" i="221"/>
  <c r="H47" i="221" s="1"/>
  <c r="E233" i="24" s="1"/>
  <c r="H45" i="224"/>
  <c r="H47" i="224" s="1"/>
  <c r="E237" i="24" s="1"/>
  <c r="H46" i="325"/>
  <c r="H48" i="325" s="1"/>
  <c r="E347" i="24" s="1"/>
  <c r="H46" i="124"/>
  <c r="H48" i="124" s="1"/>
  <c r="E111" i="24" s="1"/>
  <c r="H45" i="213"/>
  <c r="H47" i="213" s="1"/>
  <c r="E222" i="24" s="1"/>
  <c r="H46" i="227"/>
  <c r="H48" i="227" s="1"/>
  <c r="E243" i="24" s="1"/>
  <c r="H46" i="230"/>
  <c r="H48" i="230" s="1"/>
  <c r="E245" i="24" s="1"/>
  <c r="H46" i="231"/>
  <c r="H48" i="231" s="1"/>
  <c r="E246" i="24" s="1"/>
  <c r="G45" i="92"/>
  <c r="G44" i="92"/>
  <c r="G46" i="92"/>
  <c r="H46" i="229"/>
  <c r="H48" i="229" s="1"/>
  <c r="E244" i="24" s="1"/>
  <c r="H46" i="125"/>
  <c r="H48" i="125" s="1"/>
  <c r="E112" i="24" s="1"/>
  <c r="H46" i="232"/>
  <c r="H48" i="232" s="1"/>
  <c r="E247" i="24" s="1"/>
  <c r="H46" i="293"/>
  <c r="H48" i="293" s="1"/>
  <c r="E317" i="24" s="1"/>
  <c r="H46" i="294"/>
  <c r="H48" i="294" s="1"/>
  <c r="E318" i="24" s="1"/>
  <c r="H49" i="88"/>
  <c r="H51" i="88" s="1"/>
  <c r="E72" i="24" s="1"/>
  <c r="H46" i="57"/>
  <c r="H48" i="57" s="1"/>
  <c r="E31" i="24" s="1"/>
  <c r="H49" i="89"/>
  <c r="H51" i="89" s="1"/>
  <c r="E10" i="24"/>
  <c r="G90" i="24" l="1"/>
  <c r="G346" i="24"/>
  <c r="H46" i="360"/>
  <c r="H48" i="360" s="1"/>
  <c r="E403" i="24" s="1"/>
  <c r="H43" i="44"/>
  <c r="H45" i="44" s="1"/>
  <c r="E19" i="24" s="1"/>
  <c r="H46" i="185"/>
  <c r="H48" i="185" s="1"/>
  <c r="E186" i="24" s="1"/>
  <c r="G217" i="24"/>
  <c r="G84" i="24"/>
  <c r="G278" i="24"/>
  <c r="G296" i="24"/>
  <c r="G340" i="24"/>
  <c r="G271" i="24"/>
  <c r="G215" i="24"/>
  <c r="G339" i="24"/>
  <c r="G309" i="24"/>
  <c r="G112" i="24"/>
  <c r="G222" i="24"/>
  <c r="G31" i="24"/>
  <c r="G111" i="24"/>
  <c r="G229" i="24"/>
  <c r="G137" i="24"/>
  <c r="G138" i="24"/>
  <c r="G242" i="24"/>
  <c r="G286" i="24"/>
  <c r="G167" i="24"/>
  <c r="G216" i="24"/>
  <c r="G218" i="24"/>
  <c r="G323" i="24"/>
  <c r="G168" i="24"/>
  <c r="G304" i="24"/>
  <c r="G262" i="24"/>
  <c r="G201" i="24"/>
  <c r="G208" i="24"/>
  <c r="G350" i="24"/>
  <c r="G214" i="24"/>
  <c r="G72" i="24"/>
  <c r="G347" i="24"/>
  <c r="G223" i="24"/>
  <c r="G241" i="24"/>
  <c r="G289" i="24"/>
  <c r="G305" i="24"/>
  <c r="G149" i="24"/>
  <c r="G219" i="24"/>
  <c r="G164" i="24"/>
  <c r="G300" i="24"/>
  <c r="G284" i="24"/>
  <c r="G195" i="24"/>
  <c r="G276" i="24"/>
  <c r="G351" i="24"/>
  <c r="G209" i="24"/>
  <c r="G238" i="24"/>
  <c r="G224" i="24"/>
  <c r="G291" i="24"/>
  <c r="G244" i="24"/>
  <c r="G318" i="24"/>
  <c r="G237" i="24"/>
  <c r="G319" i="24"/>
  <c r="G292" i="24"/>
  <c r="H24" i="123"/>
  <c r="H39" i="123" s="1"/>
  <c r="G88" i="24"/>
  <c r="G205" i="24"/>
  <c r="G134" i="24"/>
  <c r="G165" i="24"/>
  <c r="G263" i="24"/>
  <c r="G294" i="24"/>
  <c r="G251" i="24"/>
  <c r="G193" i="24"/>
  <c r="G338" i="24"/>
  <c r="G200" i="24"/>
  <c r="G202" i="24"/>
  <c r="G27" i="24"/>
  <c r="G70" i="24"/>
  <c r="G290" i="24"/>
  <c r="G188" i="24"/>
  <c r="G306" i="24"/>
  <c r="G203" i="24"/>
  <c r="G132" i="24"/>
  <c r="G253" i="24"/>
  <c r="G162" i="24"/>
  <c r="G295" i="24"/>
  <c r="G302" i="24"/>
  <c r="G298" i="24"/>
  <c r="G210" i="24"/>
  <c r="G212" i="24"/>
  <c r="G236" i="24"/>
  <c r="G308" i="24"/>
  <c r="G233" i="24"/>
  <c r="G317" i="24"/>
  <c r="G246" i="24"/>
  <c r="G232" i="24"/>
  <c r="G225" i="24"/>
  <c r="G288" i="24"/>
  <c r="G20" i="24"/>
  <c r="G139" i="24"/>
  <c r="G321" i="24"/>
  <c r="G204" i="24"/>
  <c r="G252" i="24"/>
  <c r="G254" i="24"/>
  <c r="G155" i="24"/>
  <c r="G277" i="24"/>
  <c r="G299" i="24"/>
  <c r="G303" i="24"/>
  <c r="G199" i="24"/>
  <c r="G213" i="24"/>
  <c r="G74" i="24"/>
  <c r="G358" i="24"/>
  <c r="G140" i="24"/>
  <c r="G194" i="24"/>
  <c r="G322" i="24"/>
  <c r="G95" i="24"/>
  <c r="G256" i="24"/>
  <c r="G133" i="24"/>
  <c r="G250" i="24"/>
  <c r="G307" i="24"/>
  <c r="G293" i="24"/>
  <c r="G320" i="24"/>
  <c r="G196" i="24"/>
  <c r="G245" i="24"/>
  <c r="G275" i="24"/>
  <c r="G359" i="24"/>
  <c r="G228" i="24"/>
  <c r="G10" i="24"/>
  <c r="G247" i="24"/>
  <c r="G243" i="24"/>
  <c r="G227" i="24"/>
  <c r="G285" i="24"/>
  <c r="G287" i="24"/>
  <c r="G234" i="24"/>
  <c r="G87" i="24"/>
  <c r="G255" i="24"/>
  <c r="G297" i="24"/>
  <c r="G301" i="24"/>
  <c r="G272" i="24"/>
  <c r="G273" i="24"/>
  <c r="G198" i="24"/>
  <c r="G32" i="24"/>
  <c r="G399" i="24"/>
  <c r="G410" i="24"/>
  <c r="G404" i="24"/>
  <c r="G415" i="24"/>
  <c r="G414" i="24"/>
  <c r="G417" i="24"/>
  <c r="G412" i="24"/>
  <c r="G402" i="24"/>
  <c r="G418" i="24"/>
  <c r="G396" i="24"/>
  <c r="G413" i="24"/>
  <c r="G401" i="24"/>
  <c r="G400" i="24"/>
  <c r="G397" i="24"/>
  <c r="G405" i="24"/>
  <c r="G411" i="24"/>
  <c r="G408" i="24"/>
  <c r="G388" i="24"/>
  <c r="G398" i="24"/>
  <c r="G390" i="24"/>
  <c r="G409" i="24"/>
  <c r="H46" i="148"/>
  <c r="H48" i="148" s="1"/>
  <c r="E141" i="24" s="1"/>
  <c r="H46" i="189"/>
  <c r="H48" i="189" s="1"/>
  <c r="E190" i="24" s="1"/>
  <c r="H45" i="176"/>
  <c r="H47" i="176" s="1"/>
  <c r="E176" i="24" s="1"/>
  <c r="H46" i="157"/>
  <c r="H48" i="157" s="1"/>
  <c r="E152" i="24" s="1"/>
  <c r="E73" i="24"/>
  <c r="H46" i="149"/>
  <c r="H48" i="149" s="1"/>
  <c r="E142" i="24" s="1"/>
  <c r="H46" i="171"/>
  <c r="H48" i="171" s="1"/>
  <c r="E169" i="24" s="1"/>
  <c r="E85" i="24"/>
  <c r="H46" i="173"/>
  <c r="H48" i="173" s="1"/>
  <c r="E171" i="24" s="1"/>
  <c r="H46" i="186"/>
  <c r="H48" i="186" s="1"/>
  <c r="E187" i="24" s="1"/>
  <c r="H46" i="188"/>
  <c r="H48" i="188" s="1"/>
  <c r="E189" i="24" s="1"/>
  <c r="H46" i="175"/>
  <c r="H48" i="175" s="1"/>
  <c r="E173" i="24" s="1"/>
  <c r="H46" i="183"/>
  <c r="H48" i="183" s="1"/>
  <c r="E184" i="24" s="1"/>
  <c r="H46" i="184"/>
  <c r="H48" i="184" s="1"/>
  <c r="E185" i="24" s="1"/>
  <c r="H46" i="155"/>
  <c r="H48" i="155" s="1"/>
  <c r="E150" i="24" s="1"/>
  <c r="H45" i="159"/>
  <c r="H47" i="159" s="1"/>
  <c r="E154" i="24" s="1"/>
  <c r="H46" i="174"/>
  <c r="H48" i="174" s="1"/>
  <c r="E172" i="24" s="1"/>
  <c r="H46" i="138"/>
  <c r="H48" i="138" s="1"/>
  <c r="E129" i="24" s="1"/>
  <c r="H46" i="136"/>
  <c r="H48" i="136" s="1"/>
  <c r="E127" i="24" s="1"/>
  <c r="H46" i="158"/>
  <c r="H48" i="158" s="1"/>
  <c r="E153" i="24" s="1"/>
  <c r="H46" i="162"/>
  <c r="H48" i="162" s="1"/>
  <c r="E159" i="24" s="1"/>
  <c r="H46" i="163"/>
  <c r="H48" i="163" s="1"/>
  <c r="E160" i="24" s="1"/>
  <c r="H46" i="172"/>
  <c r="H48" i="172" s="1"/>
  <c r="E170" i="24" s="1"/>
  <c r="H46" i="166"/>
  <c r="H48" i="166" s="1"/>
  <c r="E163" i="24" s="1"/>
  <c r="H46" i="164"/>
  <c r="H48" i="164" s="1"/>
  <c r="E161" i="24" s="1"/>
  <c r="H45" i="161"/>
  <c r="H47" i="161" s="1"/>
  <c r="E156" i="24" s="1"/>
  <c r="H46" i="139"/>
  <c r="H48" i="139" s="1"/>
  <c r="E130" i="24" s="1"/>
  <c r="H46" i="156"/>
  <c r="H48" i="156" s="1"/>
  <c r="E151" i="24" s="1"/>
  <c r="H46" i="137"/>
  <c r="H48" i="137" s="1"/>
  <c r="E128" i="24" s="1"/>
  <c r="H46" i="153"/>
  <c r="H48" i="153" s="1"/>
  <c r="E148" i="24" s="1"/>
  <c r="H46" i="140"/>
  <c r="H48" i="140" s="1"/>
  <c r="E131" i="24" s="1"/>
  <c r="H46" i="135"/>
  <c r="H48" i="135" s="1"/>
  <c r="E126" i="24" s="1"/>
  <c r="G21" i="107"/>
  <c r="H25" i="107" s="1"/>
  <c r="H40" i="107" s="1"/>
  <c r="G21" i="106"/>
  <c r="H25" i="106" s="1"/>
  <c r="H40" i="106" s="1"/>
  <c r="G21" i="253"/>
  <c r="H27" i="253" s="1"/>
  <c r="H42" i="253" s="1"/>
  <c r="G21" i="255"/>
  <c r="H25" i="255" s="1"/>
  <c r="H40" i="255" s="1"/>
  <c r="H27" i="254"/>
  <c r="H42" i="254" s="1"/>
  <c r="G22" i="252"/>
  <c r="G21" i="245"/>
  <c r="H25" i="245" s="1"/>
  <c r="H40" i="245" s="1"/>
  <c r="G22" i="246"/>
  <c r="H25" i="246" s="1"/>
  <c r="H40" i="246" s="1"/>
  <c r="G21" i="244"/>
  <c r="H26" i="244" s="1"/>
  <c r="H41" i="244" s="1"/>
  <c r="G21" i="251"/>
  <c r="E71" i="24"/>
  <c r="H46" i="127"/>
  <c r="H48" i="127" s="1"/>
  <c r="E117" i="24" s="1"/>
  <c r="H46" i="131"/>
  <c r="H48" i="131" s="1"/>
  <c r="E121" i="24" s="1"/>
  <c r="H45" i="178"/>
  <c r="H47" i="178" s="1"/>
  <c r="E178" i="24" s="1"/>
  <c r="H46" i="134"/>
  <c r="H48" i="134" s="1"/>
  <c r="E124" i="24" s="1"/>
  <c r="H46" i="130"/>
  <c r="H48" i="130" s="1"/>
  <c r="E120" i="24" s="1"/>
  <c r="H45" i="182"/>
  <c r="H47" i="182" s="1"/>
  <c r="E182" i="24" s="1"/>
  <c r="H46" i="129"/>
  <c r="H48" i="129" s="1"/>
  <c r="E119" i="24" s="1"/>
  <c r="H49" i="94"/>
  <c r="H47" i="96"/>
  <c r="H49" i="96" s="1"/>
  <c r="E79" i="24" s="1"/>
  <c r="H49" i="95"/>
  <c r="H51" i="95" s="1"/>
  <c r="E77" i="24" s="1"/>
  <c r="H45" i="177"/>
  <c r="H47" i="177" s="1"/>
  <c r="E177" i="24" s="1"/>
  <c r="H46" i="132"/>
  <c r="H48" i="132" s="1"/>
  <c r="E122" i="24" s="1"/>
  <c r="H45" i="180"/>
  <c r="H47" i="180" s="1"/>
  <c r="E180" i="24" s="1"/>
  <c r="H46" i="128"/>
  <c r="H48" i="128" s="1"/>
  <c r="E118" i="24" s="1"/>
  <c r="H47" i="97"/>
  <c r="H49" i="97" s="1"/>
  <c r="E81" i="24" s="1"/>
  <c r="H46" i="152"/>
  <c r="H48" i="152" s="1"/>
  <c r="E145" i="24" s="1"/>
  <c r="H46" i="151"/>
  <c r="H48" i="151" s="1"/>
  <c r="E144" i="24" s="1"/>
  <c r="H45" i="181"/>
  <c r="H47" i="181" s="1"/>
  <c r="E181" i="24" s="1"/>
  <c r="H45" i="179"/>
  <c r="H47" i="179" s="1"/>
  <c r="E179" i="24" s="1"/>
  <c r="H46" i="150"/>
  <c r="H48" i="150" s="1"/>
  <c r="E143" i="24" s="1"/>
  <c r="H46" i="133"/>
  <c r="H48" i="133" s="1"/>
  <c r="E123" i="24" s="1"/>
  <c r="H46" i="126"/>
  <c r="H48" i="126" s="1"/>
  <c r="E116" i="24" s="1"/>
  <c r="H47" i="92"/>
  <c r="H49" i="92" s="1"/>
  <c r="G403" i="24" l="1"/>
  <c r="G186" i="24"/>
  <c r="G19" i="24"/>
  <c r="G42" i="123"/>
  <c r="G43" i="123"/>
  <c r="G44" i="123"/>
  <c r="G119" i="24"/>
  <c r="G71" i="24"/>
  <c r="G148" i="24"/>
  <c r="G160" i="24"/>
  <c r="G185" i="24"/>
  <c r="G142" i="24"/>
  <c r="G81" i="24"/>
  <c r="G182" i="24"/>
  <c r="G128" i="24"/>
  <c r="G159" i="24"/>
  <c r="G184" i="24"/>
  <c r="G118" i="24"/>
  <c r="G180" i="24"/>
  <c r="G120" i="24"/>
  <c r="G151" i="24"/>
  <c r="G153" i="24"/>
  <c r="G173" i="24"/>
  <c r="G73" i="24"/>
  <c r="G116" i="24"/>
  <c r="G123" i="24"/>
  <c r="G143" i="24"/>
  <c r="G122" i="24"/>
  <c r="G130" i="24"/>
  <c r="G127" i="24"/>
  <c r="G189" i="24"/>
  <c r="G152" i="24"/>
  <c r="G179" i="24"/>
  <c r="G124" i="24"/>
  <c r="G156" i="24"/>
  <c r="G129" i="24"/>
  <c r="G187" i="24"/>
  <c r="G176" i="24"/>
  <c r="G77" i="24"/>
  <c r="G178" i="24"/>
  <c r="G161" i="24"/>
  <c r="G172" i="24"/>
  <c r="G171" i="24"/>
  <c r="G190" i="24"/>
  <c r="G177" i="24"/>
  <c r="G79" i="24"/>
  <c r="G121" i="24"/>
  <c r="G126" i="24"/>
  <c r="G163" i="24"/>
  <c r="G154" i="24"/>
  <c r="G85" i="24"/>
  <c r="G141" i="24"/>
  <c r="G181" i="24"/>
  <c r="G144" i="24"/>
  <c r="G145" i="24"/>
  <c r="G117" i="24"/>
  <c r="G131" i="24"/>
  <c r="G170" i="24"/>
  <c r="G150" i="24"/>
  <c r="G169" i="24"/>
  <c r="G21" i="252"/>
  <c r="H27" i="252" s="1"/>
  <c r="H42" i="252" s="1"/>
  <c r="G45" i="252" s="1"/>
  <c r="H51" i="94"/>
  <c r="E76" i="24" s="1"/>
  <c r="G45" i="255"/>
  <c r="G43" i="255"/>
  <c r="G44" i="255"/>
  <c r="G44" i="106"/>
  <c r="G43" i="106"/>
  <c r="G45" i="106"/>
  <c r="G45" i="254"/>
  <c r="G47" i="254"/>
  <c r="G46" i="254"/>
  <c r="G46" i="253"/>
  <c r="G45" i="253"/>
  <c r="G47" i="253"/>
  <c r="G45" i="107"/>
  <c r="G43" i="107"/>
  <c r="G44" i="107"/>
  <c r="G20" i="251"/>
  <c r="H26" i="251" s="1"/>
  <c r="H41" i="251" s="1"/>
  <c r="G45" i="244"/>
  <c r="G46" i="244"/>
  <c r="G44" i="244"/>
  <c r="G45" i="246"/>
  <c r="G44" i="246"/>
  <c r="G43" i="246"/>
  <c r="G43" i="245"/>
  <c r="G44" i="245"/>
  <c r="G45" i="245"/>
  <c r="G21" i="98"/>
  <c r="E75" i="24"/>
  <c r="H45" i="123" l="1"/>
  <c r="H47" i="123" s="1"/>
  <c r="E110" i="24" s="1"/>
  <c r="G76" i="24"/>
  <c r="G75" i="24"/>
  <c r="G47" i="252"/>
  <c r="G46" i="252"/>
  <c r="H48" i="253"/>
  <c r="H50" i="253" s="1"/>
  <c r="E268" i="24" s="1"/>
  <c r="G21" i="99"/>
  <c r="H25" i="99" s="1"/>
  <c r="H40" i="99" s="1"/>
  <c r="H46" i="255"/>
  <c r="H48" i="255" s="1"/>
  <c r="E270" i="24" s="1"/>
  <c r="H48" i="254"/>
  <c r="H50" i="254" s="1"/>
  <c r="E269" i="24" s="1"/>
  <c r="H46" i="245"/>
  <c r="H48" i="245" s="1"/>
  <c r="E260" i="24" s="1"/>
  <c r="H47" i="244"/>
  <c r="H49" i="244" s="1"/>
  <c r="E259" i="24" s="1"/>
  <c r="H46" i="107"/>
  <c r="H48" i="107" s="1"/>
  <c r="E94" i="24" s="1"/>
  <c r="H46" i="106"/>
  <c r="H48" i="106" s="1"/>
  <c r="E93" i="24" s="1"/>
  <c r="H46" i="246"/>
  <c r="H48" i="246" s="1"/>
  <c r="E261" i="24" s="1"/>
  <c r="G45" i="251"/>
  <c r="G46" i="251"/>
  <c r="G44" i="251"/>
  <c r="H26" i="98"/>
  <c r="H41" i="98" s="1"/>
  <c r="G110" i="24" l="1"/>
  <c r="G259" i="24"/>
  <c r="G269" i="24"/>
  <c r="G260" i="24"/>
  <c r="G270" i="24"/>
  <c r="G94" i="24"/>
  <c r="G93" i="24"/>
  <c r="G261" i="24"/>
  <c r="G268" i="24"/>
  <c r="H48" i="252"/>
  <c r="H50" i="252" s="1"/>
  <c r="E267" i="24" s="1"/>
  <c r="G44" i="99"/>
  <c r="G45" i="99"/>
  <c r="G43" i="99"/>
  <c r="H47" i="251"/>
  <c r="H49" i="251" s="1"/>
  <c r="E266" i="24" s="1"/>
  <c r="G44" i="98"/>
  <c r="G45" i="98"/>
  <c r="G46" i="98"/>
  <c r="G266" i="24" l="1"/>
  <c r="G267" i="24"/>
  <c r="H46" i="99"/>
  <c r="H48" i="99" s="1"/>
  <c r="E83" i="24" s="1"/>
  <c r="H47" i="98"/>
  <c r="H49" i="98" s="1"/>
  <c r="E82" i="24" s="1"/>
  <c r="G82" i="24" l="1"/>
  <c r="G83" i="24"/>
  <c r="E21" i="341"/>
  <c r="G21" i="341" s="1"/>
  <c r="E119" i="31"/>
  <c r="E21" i="344" s="1"/>
  <c r="G21" i="344" s="1"/>
  <c r="E117" i="31"/>
  <c r="E21" i="342" s="1"/>
  <c r="G21" i="342" s="1"/>
  <c r="E118" i="31"/>
  <c r="E21" i="343" s="1"/>
  <c r="G21" i="343" s="1"/>
  <c r="E120" i="31"/>
  <c r="E21" i="345" s="1"/>
  <c r="G21" i="345" s="1"/>
  <c r="H25" i="341" l="1"/>
  <c r="H40" i="341" s="1"/>
  <c r="H25" i="344"/>
  <c r="H40" i="344" s="1"/>
  <c r="H25" i="342"/>
  <c r="H40" i="342" s="1"/>
  <c r="H25" i="345"/>
  <c r="H40" i="345" s="1"/>
  <c r="H25" i="343"/>
  <c r="H40" i="343" s="1"/>
  <c r="G44" i="345" l="1"/>
  <c r="G43" i="345"/>
  <c r="G45" i="345"/>
  <c r="G43" i="343"/>
  <c r="G44" i="343"/>
  <c r="G45" i="343"/>
  <c r="G45" i="342"/>
  <c r="G43" i="342"/>
  <c r="G44" i="342"/>
  <c r="G43" i="344"/>
  <c r="G45" i="344"/>
  <c r="G44" i="344"/>
  <c r="G45" i="341"/>
  <c r="G44" i="341"/>
  <c r="G43" i="341"/>
  <c r="H46" i="341" l="1"/>
  <c r="H48" i="341" s="1"/>
  <c r="E376" i="24" s="1"/>
  <c r="G376" i="24" s="1"/>
  <c r="H46" i="342"/>
  <c r="H48" i="342" s="1"/>
  <c r="E377" i="24" s="1"/>
  <c r="H46" i="344"/>
  <c r="H48" i="344" s="1"/>
  <c r="E379" i="24" s="1"/>
  <c r="H46" i="345"/>
  <c r="H48" i="345" s="1"/>
  <c r="E380" i="24" s="1"/>
  <c r="H46" i="343"/>
  <c r="H48" i="343" s="1"/>
  <c r="E378" i="24" s="1"/>
  <c r="G377" i="24" l="1"/>
  <c r="G379" i="24"/>
  <c r="G380" i="24"/>
  <c r="G378" i="24"/>
  <c r="H40" i="109"/>
  <c r="G45" i="109" l="1"/>
  <c r="G43" i="109"/>
  <c r="G44" i="109"/>
  <c r="H46" i="109" l="1"/>
  <c r="H48" i="109" s="1"/>
  <c r="E96" i="24" s="1"/>
  <c r="G96" i="24" l="1"/>
  <c r="H17" i="111"/>
  <c r="H39" i="111" s="1"/>
  <c r="G43" i="111" l="1"/>
  <c r="G42" i="111"/>
  <c r="G44" i="111"/>
  <c r="H45" i="111" l="1"/>
  <c r="H47" i="111" s="1"/>
  <c r="E97" i="24" s="1"/>
  <c r="G97" i="24" l="1"/>
  <c r="E21" i="334"/>
  <c r="G21" i="334" s="1"/>
  <c r="H25" i="334" s="1"/>
  <c r="H40" i="334" s="1"/>
  <c r="E21" i="338"/>
  <c r="G21" i="338" s="1"/>
  <c r="H25" i="338" s="1"/>
  <c r="H40" i="338" s="1"/>
  <c r="E21" i="339"/>
  <c r="G21" i="339" s="1"/>
  <c r="H25" i="339" s="1"/>
  <c r="H40" i="339" s="1"/>
  <c r="E21" i="332"/>
  <c r="G21" i="332" s="1"/>
  <c r="H25" i="332" s="1"/>
  <c r="H40" i="332" s="1"/>
  <c r="E21" i="333"/>
  <c r="G21" i="333" s="1"/>
  <c r="H25" i="333" s="1"/>
  <c r="H40" i="333" s="1"/>
  <c r="E21" i="336"/>
  <c r="G21" i="336" s="1"/>
  <c r="H25" i="336" s="1"/>
  <c r="H40" i="336" s="1"/>
  <c r="E20" i="335"/>
  <c r="G20" i="335" s="1"/>
  <c r="H24" i="335" s="1"/>
  <c r="H39" i="335" s="1"/>
  <c r="E21" i="340"/>
  <c r="G21" i="340" s="1"/>
  <c r="H25" i="340" s="1"/>
  <c r="H40" i="340" s="1"/>
  <c r="E21" i="337"/>
  <c r="G21" i="337" s="1"/>
  <c r="H25" i="337" s="1"/>
  <c r="H40" i="337" s="1"/>
  <c r="G44" i="333" l="1"/>
  <c r="G43" i="333"/>
  <c r="G45" i="333"/>
  <c r="G44" i="339"/>
  <c r="G45" i="339"/>
  <c r="G43" i="339"/>
  <c r="G43" i="338"/>
  <c r="G44" i="338"/>
  <c r="G45" i="338"/>
  <c r="G43" i="340"/>
  <c r="G45" i="340"/>
  <c r="G44" i="340"/>
  <c r="G44" i="337"/>
  <c r="G45" i="337"/>
  <c r="G43" i="337"/>
  <c r="G43" i="335"/>
  <c r="G44" i="335"/>
  <c r="G42" i="335"/>
  <c r="G43" i="332"/>
  <c r="G44" i="332"/>
  <c r="G45" i="332"/>
  <c r="G43" i="334"/>
  <c r="G44" i="334"/>
  <c r="G45" i="334"/>
  <c r="G44" i="336"/>
  <c r="G43" i="336"/>
  <c r="G45" i="336"/>
  <c r="H46" i="337" l="1"/>
  <c r="H48" i="337" s="1"/>
  <c r="E372" i="24" s="1"/>
  <c r="H46" i="339"/>
  <c r="H48" i="339" s="1"/>
  <c r="E374" i="24" s="1"/>
  <c r="H45" i="335"/>
  <c r="H47" i="335" s="1"/>
  <c r="E370" i="24" s="1"/>
  <c r="G370" i="24" s="1"/>
  <c r="G372" i="24"/>
  <c r="H46" i="334"/>
  <c r="H48" i="334" s="1"/>
  <c r="E369" i="24" s="1"/>
  <c r="H46" i="340"/>
  <c r="H48" i="340" s="1"/>
  <c r="E375" i="24" s="1"/>
  <c r="H46" i="336"/>
  <c r="H48" i="336" s="1"/>
  <c r="E371" i="24" s="1"/>
  <c r="H46" i="333"/>
  <c r="H48" i="333" s="1"/>
  <c r="E368" i="24" s="1"/>
  <c r="H46" i="332"/>
  <c r="H48" i="332" s="1"/>
  <c r="E367" i="24" s="1"/>
  <c r="H46" i="338"/>
  <c r="H48" i="338" s="1"/>
  <c r="E373" i="24" s="1"/>
  <c r="G374" i="24" l="1"/>
  <c r="G373" i="24"/>
  <c r="G368" i="24"/>
  <c r="G375" i="24"/>
  <c r="G371" i="24"/>
  <c r="G367" i="24"/>
  <c r="G369" i="24"/>
</calcChain>
</file>

<file path=xl/comments1.xml><?xml version="1.0" encoding="utf-8"?>
<comments xmlns="http://schemas.openxmlformats.org/spreadsheetml/2006/main">
  <authors>
    <author>Camilo Andres Gacharna Bermeo</author>
    <author>Usuario</author>
  </authors>
  <commentList>
    <comment ref="B18" authorId="0" shapeId="0">
      <text>
        <r>
          <rPr>
            <sz val="9"/>
            <color indexed="81"/>
            <rFont val="Tahoma"/>
            <family val="2"/>
          </rPr>
          <t xml:space="preserve">Corresponde al mes de salario por cada año de servicio.
(8,33%)
</t>
        </r>
      </text>
    </comment>
    <comment ref="B19" authorId="0" shapeId="0">
      <text>
        <r>
          <rPr>
            <sz val="9"/>
            <color indexed="81"/>
            <rFont val="Tahoma"/>
            <family val="2"/>
          </rPr>
          <t xml:space="preserve">El trabajador tiene derecho al pago del 12% anual o proporcional sobre el valor de las cesantias generadas al 31 de Diciembre.
</t>
        </r>
      </text>
    </comment>
    <comment ref="C19" authorId="1" shapeId="0">
      <text>
        <r>
          <rPr>
            <sz val="9"/>
            <color indexed="81"/>
            <rFont val="Tahoma"/>
            <family val="2"/>
          </rPr>
          <t>Intereses de cesantias
=(cesantias*360dias trabajados*0,12)/360</t>
        </r>
      </text>
    </comment>
    <comment ref="C21" authorId="1" shapeId="0">
      <text>
        <r>
          <rPr>
            <sz val="9"/>
            <color indexed="81"/>
            <rFont val="Tahoma"/>
            <family val="2"/>
          </rPr>
          <t>Vacaciones=(salario mensual x dias trabajados 360)/720</t>
        </r>
      </text>
    </comment>
    <comment ref="B24" authorId="0" shapeId="0">
      <text>
        <r>
          <rPr>
            <b/>
            <sz val="9"/>
            <color indexed="81"/>
            <rFont val="Tahoma"/>
            <family val="2"/>
          </rPr>
          <t xml:space="preserve">CAGB: </t>
        </r>
        <r>
          <rPr>
            <sz val="9"/>
            <color indexed="81"/>
            <rFont val="Tahoma"/>
            <family val="2"/>
          </rPr>
          <t xml:space="preserve">Ley 797 de 2003 y el decreto 4982 de 2007. Los aportes a pensión son orientados a cubrir los riesgos laborales o de jubilación por vejez.
El 12% del valor debe ser pagado por el empleador y 4% por el empleado.
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 xml:space="preserve">CAGB: </t>
        </r>
        <r>
          <rPr>
            <sz val="9"/>
            <color indexed="81"/>
            <rFont val="Tahoma"/>
            <family val="2"/>
          </rPr>
          <t xml:space="preserve">Ley 1562 de 2012. Este gasto corresponde pagarlo al empleador. Para el caso de construcción corresponde a 6.96% (Art 13 del decreto 1772 de 1994)
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</rPr>
          <t xml:space="preserve">CAGB: </t>
        </r>
        <r>
          <rPr>
            <sz val="9"/>
            <color indexed="81"/>
            <rFont val="Tahoma"/>
            <family val="2"/>
          </rPr>
          <t xml:space="preserve">Ley 1122 de 2007 (Art10), Ley 1607 (Art 25) y el decreto 1828 de 2013.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</rPr>
          <t>CAGB:</t>
        </r>
        <r>
          <rPr>
            <sz val="9"/>
            <color indexed="81"/>
            <rFont val="Tahoma"/>
            <family val="2"/>
          </rPr>
          <t xml:space="preserve">
Numero de trabajadores.
El dueño de la obra debe pagar 1 salario minimo por cada 40 trabajadores.</t>
        </r>
      </text>
    </comment>
  </commentList>
</comments>
</file>

<file path=xl/comments2.xml><?xml version="1.0" encoding="utf-8"?>
<comments xmlns="http://schemas.openxmlformats.org/spreadsheetml/2006/main">
  <authors>
    <author>Javier Susunaga</author>
    <author>Usuario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2" authorId="0" shapeId="0">
      <text>
        <r>
          <rPr>
            <sz val="9"/>
            <color indexed="81"/>
            <rFont val="Tahoma"/>
            <family val="2"/>
          </rPr>
          <t xml:space="preserve">ARRENDAMOS
Tel. 2648128 - 3002187611
Atendio: CENAIDA </t>
        </r>
      </text>
    </comment>
    <comment ref="G2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E3" authorId="1" shapeId="0">
      <text>
        <r>
          <rPr>
            <sz val="9"/>
            <color indexed="81"/>
            <rFont val="Tahoma"/>
            <family val="2"/>
          </rPr>
          <t xml:space="preserve">RICARDO ORTIGOZA 
</t>
        </r>
      </text>
    </comment>
    <comment ref="E4" authorId="0" shapeId="0">
      <text>
        <r>
          <rPr>
            <sz val="9"/>
            <color indexed="81"/>
            <rFont val="Tahoma"/>
            <family val="2"/>
          </rPr>
          <t>UNIVERSAL DE EQUIPOS
2633364
Atendio. TATIANA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4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5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5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6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6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6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7" authorId="0" shapeId="0">
      <text>
        <r>
          <rPr>
            <sz val="9"/>
            <color indexed="81"/>
            <rFont val="Tahoma"/>
            <family val="2"/>
          </rPr>
          <t>ARRENDAMOS
Tel. 2648128 - 3002187611
Atendio: CENAIDA 
20m de Standby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B8" authorId="1" shapeId="0">
      <text>
        <r>
          <rPr>
            <sz val="9"/>
            <color indexed="81"/>
            <rFont val="Tahoma"/>
            <family val="2"/>
          </rPr>
          <t>Diferencial de 2 ton.</t>
        </r>
      </text>
    </comment>
    <comment ref="E8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8" authorId="0" shapeId="0">
      <text>
        <r>
          <rPr>
            <sz val="9"/>
            <color indexed="81"/>
            <rFont val="Tahoma"/>
            <family val="2"/>
          </rPr>
          <t>ARRENDAMOS Tel. 2648128 CENAIDA RESPONDIO LA CONSULTA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E9" authorId="1" shapeId="0">
      <text>
        <r>
          <rPr>
            <sz val="9"/>
            <color indexed="81"/>
            <rFont val="Tahoma"/>
            <family val="2"/>
          </rPr>
          <t xml:space="preserve">ALQUILER DE EQUIPOS DE TOPOGRAFIA
Cel. 3118419098
Atendio Edison Aviles
</t>
        </r>
      </text>
    </comment>
    <comment ref="F9" authorId="0" shapeId="0">
      <text>
        <r>
          <rPr>
            <sz val="9"/>
            <color indexed="81"/>
            <rFont val="Tahoma"/>
            <family val="2"/>
          </rPr>
          <t>GONZALO REYES
Cel. 3107633406</t>
        </r>
      </text>
    </comment>
    <comment ref="G9" authorId="1" shapeId="0">
      <text>
        <r>
          <rPr>
            <sz val="9"/>
            <color indexed="81"/>
            <rFont val="Tahoma"/>
            <family val="2"/>
          </rPr>
          <t>Ricardo Vilanueva
Cel. 3133527659</t>
        </r>
      </text>
    </comment>
    <comment ref="E10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10" authorId="0" shapeId="0">
      <text>
        <r>
          <rPr>
            <sz val="9"/>
            <color indexed="81"/>
            <rFont val="Tahoma"/>
            <family val="2"/>
          </rPr>
          <t xml:space="preserve">ARRENDAMOS
Tel. 2648128 - 3002187611
Atendio: CENAIDA 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SERVI EQUIPOS
Cra. 4 #74-76, Jardin Parte Alta
Tel. 2713483
Atendio LIXI</t>
        </r>
      </text>
    </comment>
    <comment ref="E11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11" authorId="0" shapeId="0">
      <text>
        <r>
          <rPr>
            <sz val="9"/>
            <color indexed="81"/>
            <rFont val="Tahoma"/>
            <family val="2"/>
          </rPr>
          <t xml:space="preserve">ARRENDAMOS
Tel. 2648128 - 3002187611
Atendio: CENAIDA 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E12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12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13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13" authorId="0" shapeId="0">
      <text>
        <r>
          <rPr>
            <sz val="9"/>
            <color indexed="81"/>
            <rFont val="Tahoma"/>
            <family val="2"/>
          </rPr>
          <t xml:space="preserve">ARRENDAMOS
Tel. 2648128 - 3002187611
Atendio: CENAIDA 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SERVI EQUIPOS
Cra. 4 #74-76, Jardin Parte Alta
Tel. 2713483
Atendio LIXI</t>
        </r>
      </text>
    </comment>
    <comment ref="E14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14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15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15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16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F16" authorId="0" shapeId="0">
      <text>
        <r>
          <rPr>
            <sz val="9"/>
            <color indexed="81"/>
            <rFont val="Tahoma"/>
            <family val="2"/>
          </rPr>
          <t xml:space="preserve">ARRENDAMOS
Tel. 2648128 - 3002187611
Atendio: CENAIDA 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SERVI EQUIPOS
Cra. 4 #74-76, Jardin Parte Alta
Tel. 2713483
Atendio LIXI</t>
        </r>
      </text>
    </comment>
    <comment ref="E17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17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  <comment ref="E18" authorId="0" shapeId="0">
      <text>
        <r>
          <rPr>
            <sz val="9"/>
            <color indexed="81"/>
            <rFont val="Tahoma"/>
            <family val="2"/>
          </rPr>
          <t xml:space="preserve">PROYECTOS Y MOVIMIENTOS S.A.S Avenida Ambala Mina El Vergel Teléfono: 2717299
</t>
        </r>
      </text>
    </comment>
    <comment ref="E19" authorId="1" shapeId="0">
      <text>
        <r>
          <rPr>
            <sz val="9"/>
            <color indexed="81"/>
            <rFont val="Tahoma"/>
            <family val="2"/>
          </rPr>
          <t>RICARDO ORTIGOZA GONZALES</t>
        </r>
      </text>
    </comment>
    <comment ref="F19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ANDRES ORTIZ DURAN
Cel: 3108054371</t>
        </r>
      </text>
    </comment>
  </commentList>
</comments>
</file>

<file path=xl/comments3.xml><?xml version="1.0" encoding="utf-8"?>
<comments xmlns="http://schemas.openxmlformats.org/spreadsheetml/2006/main">
  <authors>
    <author>Javier Susunaga</author>
    <author>Usuario</author>
  </authors>
  <commentList>
    <comment ref="C2" authorId="0" shapeId="0">
      <text>
        <r>
          <rPr>
            <sz val="9"/>
            <color indexed="81"/>
            <rFont val="Tahoma"/>
            <family val="2"/>
          </rPr>
          <t xml:space="preserve">varilla lisa
</t>
        </r>
      </text>
    </comment>
    <comment ref="F2" authorId="0" shapeId="0">
      <text>
        <r>
          <rPr>
            <sz val="9"/>
            <color indexed="81"/>
            <rFont val="Tahoma"/>
            <family val="2"/>
          </rPr>
          <t xml:space="preserve">PRECIO HIFER IBAGUE TEL. 2634633
</t>
        </r>
      </text>
    </comment>
    <comment ref="G2" authorId="1" shapeId="0">
      <text>
        <r>
          <rPr>
            <sz val="9"/>
            <color indexed="81"/>
            <rFont val="Tahoma"/>
            <family val="2"/>
          </rPr>
          <t xml:space="preserve">ARMETALES
</t>
        </r>
      </text>
    </comment>
    <comment ref="H2" authorId="1" shapeId="0">
      <text>
        <r>
          <rPr>
            <sz val="9"/>
            <color indexed="81"/>
            <rFont val="Tahoma"/>
            <family val="2"/>
          </rPr>
          <t>Agofer
Carrera 5 # 79-19, Barrio Jardín
 (8) 2706969</t>
        </r>
      </text>
    </comment>
    <comment ref="C3" authorId="0" shapeId="0">
      <text>
        <r>
          <rPr>
            <sz val="9"/>
            <color indexed="81"/>
            <rFont val="Tahoma"/>
            <family val="2"/>
          </rPr>
          <t xml:space="preserve">varilla corrugada 
</t>
        </r>
      </text>
    </comment>
    <comment ref="F3" authorId="0" shapeId="0">
      <text>
        <r>
          <rPr>
            <sz val="9"/>
            <color indexed="81"/>
            <rFont val="Tahoma"/>
            <family val="2"/>
          </rPr>
          <t xml:space="preserve">PRECIO HIFER IBAGUE TEL. 2634633
</t>
        </r>
      </text>
    </comment>
    <comment ref="G3" authorId="1" shapeId="0">
      <text>
        <r>
          <rPr>
            <sz val="9"/>
            <color indexed="81"/>
            <rFont val="Tahoma"/>
            <family val="2"/>
          </rPr>
          <t xml:space="preserve">ARMETALES
</t>
        </r>
      </text>
    </comment>
    <comment ref="H3" authorId="1" shapeId="0">
      <text>
        <r>
          <rPr>
            <sz val="9"/>
            <color indexed="81"/>
            <rFont val="Tahoma"/>
            <family val="2"/>
          </rPr>
          <t>Agofer
Carrera 5 # 79-19, Barrio Jardín
 (8) 2706969</t>
        </r>
      </text>
    </comment>
    <comment ref="F6" authorId="0" shapeId="0">
      <text>
        <r>
          <rPr>
            <sz val="9"/>
            <color indexed="81"/>
            <rFont val="Tahoma"/>
            <family val="2"/>
          </rPr>
          <t xml:space="preserve">CENTRAL PECUARIA IBAGUE TEL. 2641160
</t>
        </r>
      </text>
    </comment>
    <comment ref="G6" authorId="0" shapeId="0">
      <text>
        <r>
          <rPr>
            <sz val="9"/>
            <color indexed="81"/>
            <rFont val="Tahoma"/>
            <family val="2"/>
          </rPr>
          <t xml:space="preserve">Diagrotol Veterinaria
Cra. 5 #28a10
Cel. 315 2448022
Atendio Carmen
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Ferreteria Guerrero
Tel. 0382639864</t>
        </r>
      </text>
    </comment>
    <comment ref="F7" authorId="0" shapeId="0">
      <text>
        <r>
          <rPr>
            <sz val="9"/>
            <color indexed="81"/>
            <rFont val="Tahoma"/>
            <family val="2"/>
          </rPr>
          <t xml:space="preserve">PRECIO HIFER IBAGUE TEL. 2634633
</t>
        </r>
      </text>
    </comment>
    <comment ref="G7" authorId="0" shapeId="0">
      <text>
        <r>
          <rPr>
            <sz val="9"/>
            <color indexed="81"/>
            <rFont val="Tahoma"/>
            <family val="2"/>
          </rPr>
          <t xml:space="preserve">HIERROS DE OCCIDENTE TEL. 2611473 ATENDIO OLGA LUCIA
</t>
        </r>
      </text>
    </comment>
    <comment ref="H7" authorId="1" shapeId="0">
      <text>
        <r>
          <rPr>
            <sz val="9"/>
            <color indexed="81"/>
            <rFont val="Tahoma"/>
            <family val="2"/>
          </rPr>
          <t>Ferretería La Española
Cra. 5 #22-27
Tel. 2636390</t>
        </r>
      </text>
    </comment>
    <comment ref="F9" authorId="1" shapeId="0">
      <text>
        <r>
          <rPr>
            <sz val="9"/>
            <color indexed="81"/>
            <rFont val="Tahoma"/>
            <family val="2"/>
          </rPr>
          <t>ARMETALES
Cra 4c N°. 25-85</t>
        </r>
      </text>
    </comment>
    <comment ref="G9" authorId="0" shapeId="0">
      <text>
        <r>
          <rPr>
            <sz val="9"/>
            <color indexed="81"/>
            <rFont val="Tahoma"/>
            <family val="2"/>
          </rPr>
          <t xml:space="preserve">HIERROS DE OCCIDENTE TEL. 2611473 
</t>
        </r>
      </text>
    </comment>
    <comment ref="H9" authorId="0" shapeId="0">
      <text>
        <r>
          <rPr>
            <sz val="9"/>
            <color indexed="81"/>
            <rFont val="Tahoma"/>
            <family val="2"/>
          </rPr>
          <t xml:space="preserve">PRECIO HIFER IBAGUE TEL. 2634633
</t>
        </r>
      </text>
    </comment>
    <comment ref="F10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JUAN CARLOS PARRA
INGENIERIA &amp; SUMINISTRO
Atendio Jimena Roman
Cel. 3175102959</t>
        </r>
      </text>
    </comment>
    <comment ref="H10" authorId="1" shapeId="0">
      <text>
        <r>
          <rPr>
            <sz val="9"/>
            <color indexed="81"/>
            <rFont val="Tahoma"/>
            <family val="2"/>
          </rPr>
          <t>Agregados Cucuana
Yovany Oviedo
Cel. 3153925334</t>
        </r>
      </text>
    </comment>
    <comment ref="F11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 xml:space="preserve">AGREGADOS MARTINEZ
</t>
        </r>
      </text>
    </comment>
    <comment ref="H11" authorId="1" shapeId="0">
      <text>
        <r>
          <rPr>
            <sz val="9"/>
            <color indexed="81"/>
            <rFont val="Tahoma"/>
            <family val="2"/>
          </rPr>
          <t xml:space="preserve">LA CAIMA
</t>
        </r>
      </text>
    </comment>
    <comment ref="F14" authorId="0" shapeId="0">
      <text>
        <r>
          <rPr>
            <sz val="9"/>
            <color indexed="81"/>
            <rFont val="Tahoma"/>
            <family val="2"/>
          </rPr>
          <t xml:space="preserve">HIFER S.A 
Tel. 0382634633
Atendio Angelica
</t>
        </r>
      </text>
    </comment>
    <comment ref="G14" authorId="0" shapeId="0">
      <text>
        <r>
          <rPr>
            <sz val="9"/>
            <color indexed="81"/>
            <rFont val="Tahoma"/>
            <family val="2"/>
          </rPr>
          <t xml:space="preserve">HIERROS DE OCCIDENTE 
Tel. 0382611473
Atendio Alexandra
</t>
        </r>
      </text>
    </comment>
    <comment ref="H14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F15" authorId="1" shapeId="0">
      <text>
        <r>
          <rPr>
            <sz val="9"/>
            <color indexed="81"/>
            <rFont val="Tahoma"/>
            <family val="2"/>
          </rPr>
          <t xml:space="preserve">ALMACEN
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ALMACEN</t>
        </r>
      </text>
    </comment>
    <comment ref="H15" authorId="1" shapeId="0">
      <text>
        <r>
          <rPr>
            <sz val="9"/>
            <color indexed="81"/>
            <rFont val="Tahoma"/>
            <family val="2"/>
          </rPr>
          <t xml:space="preserve">ALMACEN
</t>
        </r>
      </text>
    </comment>
    <comment ref="F16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16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16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17" authorId="1" shapeId="0">
      <text>
        <r>
          <rPr>
            <sz val="9"/>
            <color indexed="81"/>
            <rFont val="Tahoma"/>
            <family val="2"/>
          </rPr>
          <t>HOMECENTER</t>
        </r>
      </text>
    </comment>
    <comment ref="H17" authorId="1" shapeId="0">
      <text>
        <r>
          <rPr>
            <sz val="9"/>
            <color indexed="81"/>
            <rFont val="Tahoma"/>
            <family val="2"/>
          </rPr>
          <t>DOTA EXPRESS DEL TOLIMA
Cel. 3134087576</t>
        </r>
      </text>
    </comment>
    <comment ref="F18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18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18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19" authorId="1" shapeId="0">
      <text>
        <r>
          <rPr>
            <sz val="9"/>
            <color indexed="81"/>
            <rFont val="Tahoma"/>
            <family val="2"/>
          </rPr>
          <t xml:space="preserve">HOMECENTER
</t>
        </r>
      </text>
    </comment>
    <comment ref="F20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20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20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ARRENDAMOS Tel. 2648128 CENAIDA RESPONDIO LA CONSULTA</t>
        </r>
      </text>
    </comment>
    <comment ref="H21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F22" authorId="0" shapeId="0">
      <text>
        <r>
          <rPr>
            <sz val="9"/>
            <color indexed="81"/>
            <rFont val="Tahoma"/>
            <family val="2"/>
          </rPr>
          <t xml:space="preserve">H&amp;H EQUIPOS
Emma Helena Herrera Saldarriaga Tel:   2718958
CELS: 3112246833 - 3167491574 </t>
        </r>
      </text>
    </comment>
    <comment ref="G22" authorId="0" shapeId="0">
      <text>
        <r>
          <rPr>
            <sz val="9"/>
            <color indexed="81"/>
            <rFont val="Tahoma"/>
            <family val="2"/>
          </rPr>
          <t>ARRENDAMOS Tel. 2648128 CENAIDA RESPONDIO LA CONSULTA</t>
        </r>
      </text>
    </comment>
    <comment ref="H22" authorId="1" shapeId="0">
      <text>
        <r>
          <rPr>
            <sz val="9"/>
            <color indexed="81"/>
            <rFont val="Tahoma"/>
            <family val="2"/>
          </rPr>
          <t xml:space="preserve">CONSTRUYA-CONVERO
Cra 4 Estadio N°. 31-01
Tel: 2700272
Cel. 3016006128
Atendio Ignacio Vargas
</t>
        </r>
      </text>
    </comment>
    <comment ref="F23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23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23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24" authorId="0" shapeId="0">
      <text>
        <r>
          <rPr>
            <sz val="9"/>
            <color indexed="81"/>
            <rFont val="Tahoma"/>
            <family val="2"/>
          </rPr>
          <t xml:space="preserve">CENTRAL PECUARIA IBAGUE TEL. 2641160
</t>
        </r>
      </text>
    </comment>
    <comment ref="G24" authorId="0" shapeId="0">
      <text>
        <r>
          <rPr>
            <sz val="9"/>
            <color indexed="81"/>
            <rFont val="Tahoma"/>
            <family val="2"/>
          </rPr>
          <t>Diagrotol Veterinaria
Cra. 5 #28a10
Cel. 315 2448022
Atendio Carmen</t>
        </r>
      </text>
    </comment>
    <comment ref="H24" authorId="0" shapeId="0">
      <text>
        <r>
          <rPr>
            <sz val="9"/>
            <color indexed="81"/>
            <rFont val="Tahoma"/>
            <family val="2"/>
          </rPr>
          <t>Ferreteria Guerrero
Tel. 0382639864</t>
        </r>
      </text>
    </comment>
    <comment ref="E25" authorId="0" shapeId="0">
      <text>
        <r>
          <rPr>
            <sz val="9"/>
            <color indexed="81"/>
            <rFont val="Tahoma"/>
            <family val="2"/>
          </rPr>
          <t>Guadua de 8mts
2622437</t>
        </r>
      </text>
    </comment>
    <comment ref="F25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25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25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26" authorId="1" shapeId="0">
      <text>
        <r>
          <rPr>
            <sz val="9"/>
            <color indexed="81"/>
            <rFont val="Tahoma"/>
            <family val="2"/>
          </rPr>
          <t>FERRETRANS DEL TOLIMA
TEL. 2737462</t>
        </r>
      </text>
    </comment>
    <comment ref="G26" authorId="1" shapeId="0">
      <text>
        <r>
          <rPr>
            <sz val="9"/>
            <color indexed="81"/>
            <rFont val="Tahoma"/>
            <family val="2"/>
          </rPr>
          <t>Ferretería La Española
Cra. 5 #22-27
Tel. 2636390</t>
        </r>
      </text>
    </comment>
    <comment ref="H26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F27" authorId="1" shapeId="0">
      <text>
        <r>
          <rPr>
            <sz val="9"/>
            <color indexed="81"/>
            <rFont val="Tahoma"/>
            <family val="2"/>
          </rPr>
          <t>HIFER
TEL. 2634605
Atendio Maria</t>
        </r>
      </text>
    </comment>
    <comment ref="G27" authorId="0" shapeId="0">
      <text>
        <r>
          <rPr>
            <sz val="9"/>
            <color indexed="81"/>
            <rFont val="Tahoma"/>
            <family val="2"/>
          </rPr>
          <t xml:space="preserve">LADRILLERA CALAMAR BARRIO MIRAMAR IBAGUE TEL.2604717 ATENDIO LILIANA
</t>
        </r>
      </text>
    </comment>
    <comment ref="H27" authorId="1" shapeId="0">
      <text>
        <r>
          <rPr>
            <sz val="9"/>
            <color indexed="81"/>
            <rFont val="Tahoma"/>
            <family val="2"/>
          </rPr>
          <t>Ferretería La Española
Cra. 5 #22-27
Tel. 2636390</t>
        </r>
      </text>
    </comment>
    <comment ref="G29" authorId="1" shapeId="0">
      <text>
        <r>
          <rPr>
            <sz val="9"/>
            <color indexed="81"/>
            <rFont val="Tahoma"/>
            <family val="2"/>
          </rPr>
          <t xml:space="preserve">HIERROS DE OCCIDENTE
</t>
        </r>
      </text>
    </comment>
    <comment ref="F30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30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30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31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31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31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32" authorId="1" shapeId="0">
      <text>
        <r>
          <rPr>
            <sz val="9"/>
            <color indexed="81"/>
            <rFont val="Tahoma"/>
            <family val="2"/>
          </rPr>
          <t>HOMECENTER</t>
        </r>
      </text>
    </comment>
    <comment ref="G32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F33" authorId="0" shapeId="0">
      <text>
        <r>
          <rPr>
            <sz val="9"/>
            <color indexed="81"/>
            <rFont val="Tahoma"/>
            <family val="2"/>
          </rPr>
          <t xml:space="preserve">MOLIMALLAS carrera 7 A # 27A - 49 , Belalcazar Ibagué, Tolim Cel. 315 899 8126
Atendio Luz Elena
</t>
        </r>
      </text>
    </comment>
    <comment ref="G33" authorId="0" shapeId="0">
      <text>
        <r>
          <rPr>
            <sz val="9"/>
            <color indexed="81"/>
            <rFont val="Tahoma"/>
            <family val="2"/>
          </rPr>
          <t xml:space="preserve">TOLIMALLAS TEL. 2661903-2661227 ATENDIO CRISTIAN
</t>
        </r>
      </text>
    </comment>
    <comment ref="H33" authorId="0" shapeId="0">
      <text>
        <r>
          <rPr>
            <sz val="9"/>
            <color indexed="81"/>
            <rFont val="Tahoma"/>
            <family val="2"/>
          </rPr>
          <t xml:space="preserve">CONSTRUMALLAS Tel. 0382 745985
 ATENDIO: LILIANA MORENO
</t>
        </r>
      </text>
    </comment>
    <comment ref="F34" authorId="0" shapeId="0">
      <text>
        <r>
          <rPr>
            <sz val="9"/>
            <color indexed="81"/>
            <rFont val="Tahoma"/>
            <family val="2"/>
          </rPr>
          <t xml:space="preserve">ASFALTEMOS Direccion: Av Ambala 69-80 - C.C Plazas del Bosque Ofic. 303 - Ibague, Colombia - Teléfono +(57) 8 2755410 
</t>
        </r>
      </text>
    </comment>
    <comment ref="F36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36" authorId="0" shapeId="0">
      <text>
        <r>
          <rPr>
            <sz val="9"/>
            <color indexed="81"/>
            <rFont val="Tahoma"/>
            <family val="2"/>
          </rPr>
          <t xml:space="preserve">CONSTRUCCIONES Y AGRAGADOS CUCUANA CEL. 3156310478  2672921
</t>
        </r>
      </text>
    </comment>
    <comment ref="H36" authorId="1" shapeId="0">
      <text>
        <r>
          <rPr>
            <sz val="9"/>
            <color indexed="81"/>
            <rFont val="Tahoma"/>
            <family val="2"/>
          </rPr>
          <t xml:space="preserve">LA CAIMA
</t>
        </r>
      </text>
    </comment>
    <comment ref="F37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37" authorId="0" shapeId="0">
      <text>
        <r>
          <rPr>
            <sz val="9"/>
            <color indexed="81"/>
            <rFont val="Tahoma"/>
            <family val="2"/>
          </rPr>
          <t xml:space="preserve">CONSTRUCCIONES Y AGRAGADOS CUCUANA CEL. 3156310478  2672921
</t>
        </r>
      </text>
    </comment>
    <comment ref="H37" authorId="1" shapeId="0">
      <text>
        <r>
          <rPr>
            <sz val="9"/>
            <color indexed="81"/>
            <rFont val="Tahoma"/>
            <family val="2"/>
          </rPr>
          <t xml:space="preserve">LA CAIMA
</t>
        </r>
      </text>
    </comment>
    <comment ref="F38" authorId="1" shapeId="0">
      <text>
        <r>
          <rPr>
            <sz val="9"/>
            <color indexed="81"/>
            <rFont val="Tahoma"/>
            <family val="2"/>
          </rPr>
          <t xml:space="preserve">AGREGADOS MARTINEZ
</t>
        </r>
      </text>
    </comment>
    <comment ref="G38" authorId="1" shapeId="0">
      <text>
        <r>
          <rPr>
            <sz val="9"/>
            <color indexed="81"/>
            <rFont val="Tahoma"/>
            <family val="2"/>
          </rPr>
          <t>JUAN CARLOS PARRA
INGENIERIA &amp; SUMINISTRO
Atendio Jimena Roman
Cel. 3175102959</t>
        </r>
      </text>
    </comment>
    <comment ref="H38" authorId="1" shapeId="0">
      <text>
        <r>
          <rPr>
            <sz val="9"/>
            <color indexed="81"/>
            <rFont val="Tahoma"/>
            <family val="2"/>
          </rPr>
          <t xml:space="preserve">LA CAIMA
</t>
        </r>
      </text>
    </comment>
    <comment ref="F40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40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40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43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43" authorId="1" shapeId="0">
      <text>
        <r>
          <rPr>
            <sz val="9"/>
            <color indexed="81"/>
            <rFont val="Tahoma"/>
            <family val="2"/>
          </rPr>
          <t>JUAN CARLOS PARRA
INGENIERIA &amp; SUMINISTRO
Atendio Jimena Roman
Cel. 3175102959</t>
        </r>
      </text>
    </comment>
    <comment ref="H43" authorId="1" shapeId="0">
      <text>
        <r>
          <rPr>
            <sz val="9"/>
            <color indexed="81"/>
            <rFont val="Tahoma"/>
            <family val="2"/>
          </rPr>
          <t xml:space="preserve">ARENAS Y GRAVAS DE COLOMBIA
</t>
        </r>
      </text>
    </comment>
    <comment ref="F44" authorId="1" shapeId="0">
      <text>
        <r>
          <rPr>
            <sz val="9"/>
            <color indexed="81"/>
            <rFont val="Tahoma"/>
            <family val="2"/>
          </rPr>
          <t>ASFALTEMOS S.A.S</t>
        </r>
      </text>
    </comment>
    <comment ref="F45" authorId="1" shapeId="0">
      <text>
        <r>
          <rPr>
            <sz val="9"/>
            <color indexed="81"/>
            <rFont val="Tahoma"/>
            <family val="2"/>
          </rPr>
          <t>INGECOM
PRECIO CON IVA</t>
        </r>
      </text>
    </comment>
    <comment ref="G45" authorId="1" shapeId="0">
      <text>
        <r>
          <rPr>
            <sz val="9"/>
            <color indexed="81"/>
            <rFont val="Tahoma"/>
            <family val="2"/>
          </rPr>
          <t xml:space="preserve">SEMTOL Y ASESORIAS
</t>
        </r>
      </text>
    </comment>
    <comment ref="H45" authorId="1" shapeId="0">
      <text>
        <r>
          <rPr>
            <sz val="9"/>
            <color indexed="81"/>
            <rFont val="Tahoma"/>
            <family val="2"/>
          </rPr>
          <t xml:space="preserve">M&amp;G
</t>
        </r>
      </text>
    </comment>
    <comment ref="F46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46" authorId="1" shapeId="0">
      <text>
        <r>
          <rPr>
            <sz val="9"/>
            <color indexed="81"/>
            <rFont val="Tahoma"/>
            <family val="2"/>
          </rPr>
          <t xml:space="preserve">AGREGADOS MARTINEZ
</t>
        </r>
      </text>
    </comment>
    <comment ref="H46" authorId="1" shapeId="0">
      <text>
        <r>
          <rPr>
            <sz val="9"/>
            <color indexed="81"/>
            <rFont val="Tahoma"/>
            <family val="2"/>
          </rPr>
          <t xml:space="preserve">LA CAIMA
</t>
        </r>
      </text>
    </comment>
    <comment ref="F47" authorId="1" shapeId="0">
      <text>
        <r>
          <rPr>
            <sz val="9"/>
            <color indexed="81"/>
            <rFont val="Tahoma"/>
            <family val="2"/>
          </rPr>
          <t>ELENA ORELLAN</t>
        </r>
      </text>
    </comment>
    <comment ref="H47" authorId="1" shapeId="0">
      <text>
        <r>
          <rPr>
            <sz val="9"/>
            <color indexed="81"/>
            <rFont val="Tahoma"/>
            <family val="2"/>
          </rPr>
          <t>DOTA EXPRESS DEL TOLIMA
Cel. 3134087576</t>
        </r>
      </text>
    </comment>
    <comment ref="F49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49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49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E50" authorId="0" shapeId="0">
      <text>
        <r>
          <rPr>
            <sz val="9"/>
            <color indexed="81"/>
            <rFont val="Tahoma"/>
            <family val="2"/>
          </rPr>
          <t>Guadua de 6m</t>
        </r>
      </text>
    </comment>
    <comment ref="F50" authorId="0" shapeId="0">
      <text>
        <r>
          <rPr>
            <sz val="9"/>
            <color indexed="81"/>
            <rFont val="Tahoma"/>
            <family val="2"/>
          </rPr>
          <t xml:space="preserve">MADERAS MIROLINDO TEL. 2644017 - 3125822275 ATENDIO ADELAIDA ROMAN
</t>
        </r>
      </text>
    </comment>
    <comment ref="G50" authorId="0" shapeId="0">
      <text>
        <r>
          <rPr>
            <sz val="9"/>
            <color indexed="81"/>
            <rFont val="Tahoma"/>
            <family val="2"/>
          </rPr>
          <t>MADERGUS MADERAS
Cra 3 Nª. 20-104
Cel. 3103234131
Sandra Yanet Acosta</t>
        </r>
      </text>
    </comment>
    <comment ref="H50" authorId="0" shapeId="0">
      <text>
        <r>
          <rPr>
            <sz val="9"/>
            <color indexed="81"/>
            <rFont val="Tahoma"/>
            <family val="2"/>
          </rPr>
          <t>PROFORCA
Cra 4C Nª. 26-01
Tel. 0382643634
Atendio Carolina Sandoval</t>
        </r>
      </text>
    </comment>
    <comment ref="F51" authorId="0" shapeId="0">
      <text>
        <r>
          <rPr>
            <sz val="9"/>
            <color indexed="81"/>
            <rFont val="Tahoma"/>
            <family val="2"/>
          </rPr>
          <t xml:space="preserve">PROYECTOS Y MOVIMIENTOS S.A.S Avenida Ambala Mina El Vergel Teléfono: 2717299
</t>
        </r>
      </text>
    </comment>
    <comment ref="C52" authorId="0" shapeId="0">
      <text>
        <r>
          <rPr>
            <sz val="9"/>
            <color indexed="81"/>
            <rFont val="Tahoma"/>
            <family val="2"/>
          </rPr>
          <t xml:space="preserve">VALOR ROLLO $ 145000
</t>
        </r>
      </text>
    </comment>
    <comment ref="F52" authorId="0" shapeId="0">
      <text>
        <r>
          <rPr>
            <sz val="9"/>
            <color indexed="81"/>
            <rFont val="Tahoma"/>
            <family val="2"/>
          </rPr>
          <t xml:space="preserve">PLASTICOS CALYPSO IBAGUE TEL. 2618582
ATENDIO ANGIE
</t>
        </r>
      </text>
    </comment>
    <comment ref="G52" authorId="1" shapeId="0">
      <text>
        <r>
          <rPr>
            <sz val="9"/>
            <color indexed="81"/>
            <rFont val="Tahoma"/>
            <family val="2"/>
          </rPr>
          <t>PROVI PLASTICOS 
Calle 16 N°. 1-17
Atendio: Maria Fernanda
Cel. 320-9024924</t>
        </r>
      </text>
    </comment>
    <comment ref="H52" authorId="1" shapeId="0">
      <text>
        <r>
          <rPr>
            <sz val="9"/>
            <color indexed="81"/>
            <rFont val="Tahoma"/>
            <family val="2"/>
          </rPr>
          <t>PLASTICOS IBAGUE
Tel. 2639972
Atendio. Camilo</t>
        </r>
      </text>
    </comment>
    <comment ref="F53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53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53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54" authorId="1" shapeId="0">
      <text>
        <r>
          <rPr>
            <sz val="9"/>
            <color indexed="81"/>
            <rFont val="Tahoma"/>
            <family val="2"/>
          </rPr>
          <t>ZR CONSTRUCCIONES
LUIS ALBERTO ZAMBRANO RODRIGUEZ
VALOR UNITARIO + IVA 19%</t>
        </r>
      </text>
    </comment>
    <comment ref="G54" authorId="1" shapeId="0">
      <text>
        <r>
          <rPr>
            <sz val="9"/>
            <color indexed="81"/>
            <rFont val="Tahoma"/>
            <family val="2"/>
          </rPr>
          <t>JUAN CARLOS PARRA
INGENIERIA &amp; SUMINISTRO
Atendio Jimena Roman
Cel. 3175102959</t>
        </r>
      </text>
    </comment>
    <comment ref="H54" authorId="1" shapeId="0">
      <text>
        <r>
          <rPr>
            <sz val="9"/>
            <color indexed="81"/>
            <rFont val="Tahoma"/>
            <family val="2"/>
          </rPr>
          <t xml:space="preserve">ARENAS Y GRAVAS DE COLOMBIA
</t>
        </r>
      </text>
    </comment>
    <comment ref="E56" authorId="0" shapeId="0">
      <text>
        <r>
          <rPr>
            <sz val="9"/>
            <color indexed="81"/>
            <rFont val="Tahoma"/>
            <family val="2"/>
          </rPr>
          <t xml:space="preserve">DROGUERIA COLONY TEL. 0382668184
</t>
        </r>
      </text>
    </comment>
    <comment ref="F56" authorId="1" shapeId="0">
      <text>
        <r>
          <rPr>
            <sz val="9"/>
            <color indexed="81"/>
            <rFont val="Tahoma"/>
            <family val="2"/>
          </rPr>
          <t>GERFOR</t>
        </r>
      </text>
    </comment>
    <comment ref="G56" authorId="1" shapeId="0">
      <text>
        <r>
          <rPr>
            <sz val="9"/>
            <color indexed="81"/>
            <rFont val="Tahoma"/>
            <family val="2"/>
          </rPr>
          <t xml:space="preserve">PAVCO
</t>
        </r>
      </text>
    </comment>
    <comment ref="H56" authorId="1" shapeId="0">
      <text>
        <r>
          <rPr>
            <sz val="9"/>
            <color indexed="81"/>
            <rFont val="Tahoma"/>
            <family val="2"/>
          </rPr>
          <t>CELTA</t>
        </r>
      </text>
    </comment>
    <comment ref="F57" authorId="1" shapeId="0">
      <text>
        <r>
          <rPr>
            <sz val="9"/>
            <color indexed="81"/>
            <rFont val="Tahoma"/>
            <family val="2"/>
          </rPr>
          <t>Central pecuaria</t>
        </r>
      </text>
    </comment>
    <comment ref="G57" authorId="1" shapeId="0">
      <text>
        <r>
          <rPr>
            <sz val="9"/>
            <color indexed="81"/>
            <rFont val="Tahoma"/>
            <family val="2"/>
          </rPr>
          <t>Diagrotol</t>
        </r>
      </text>
    </comment>
    <comment ref="F58" authorId="1" shapeId="0">
      <text>
        <r>
          <rPr>
            <sz val="9"/>
            <color indexed="81"/>
            <rFont val="Tahoma"/>
            <family val="2"/>
          </rPr>
          <t>Central pecuaria</t>
        </r>
      </text>
    </comment>
    <comment ref="G58" authorId="1" shapeId="0">
      <text>
        <r>
          <rPr>
            <sz val="9"/>
            <color indexed="81"/>
            <rFont val="Tahoma"/>
            <family val="2"/>
          </rPr>
          <t>Diagrotol</t>
        </r>
      </text>
    </comment>
    <comment ref="H58" authorId="1" shapeId="0">
      <text>
        <r>
          <rPr>
            <sz val="9"/>
            <color indexed="81"/>
            <rFont val="Tahoma"/>
            <family val="2"/>
          </rPr>
          <t>doyare</t>
        </r>
      </text>
    </comment>
    <comment ref="F59" authorId="1" shapeId="0">
      <text>
        <r>
          <rPr>
            <sz val="9"/>
            <color indexed="81"/>
            <rFont val="Tahoma"/>
            <family val="2"/>
          </rPr>
          <t>Central pecuaria</t>
        </r>
      </text>
    </comment>
    <comment ref="G59" authorId="1" shapeId="0">
      <text>
        <r>
          <rPr>
            <sz val="9"/>
            <color indexed="81"/>
            <rFont val="Tahoma"/>
            <family val="2"/>
          </rPr>
          <t>Diagrotol</t>
        </r>
      </text>
    </comment>
    <comment ref="H59" authorId="1" shapeId="0">
      <text>
        <r>
          <rPr>
            <sz val="9"/>
            <color indexed="81"/>
            <rFont val="Tahoma"/>
            <family val="2"/>
          </rPr>
          <t>doyare</t>
        </r>
      </text>
    </comment>
    <comment ref="F61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61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61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62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62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62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63" authorId="1" shapeId="0">
      <text>
        <r>
          <rPr>
            <sz val="9"/>
            <color indexed="81"/>
            <rFont val="Tahoma"/>
            <family val="2"/>
          </rPr>
          <t>Vivero PAISA frente a MAKRO
Atendio Jhon Fredy
Cel. 3107559727</t>
        </r>
      </text>
    </comment>
    <comment ref="G63" authorId="1" shapeId="0">
      <text>
        <r>
          <rPr>
            <sz val="9"/>
            <color indexed="81"/>
            <rFont val="Tahoma"/>
            <family val="2"/>
          </rPr>
          <t xml:space="preserve">VIVERO PROVIDENCIA Frente al centro Comercial LA ESTACION
Atendio Elizabeth Morales
Cel. 3202322132
</t>
        </r>
      </text>
    </comment>
    <comment ref="H63" authorId="1" shapeId="0">
      <text>
        <r>
          <rPr>
            <sz val="9"/>
            <color indexed="81"/>
            <rFont val="Tahoma"/>
            <family val="2"/>
          </rPr>
          <t xml:space="preserve">VIVERO CENPROFOREST
ESTELLA GODOY
Cel. 3143898833
</t>
        </r>
      </text>
    </comment>
    <comment ref="F74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4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4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F75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5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5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76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6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6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77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7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7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78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8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8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79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79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79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80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80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80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81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81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81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82" authorId="1" shapeId="0">
      <text>
        <r>
          <rPr>
            <sz val="9"/>
            <color indexed="81"/>
            <rFont val="Tahoma"/>
            <family val="2"/>
          </rPr>
          <t xml:space="preserve">ACUATUBOS
</t>
        </r>
      </text>
    </comment>
    <comment ref="G82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82" authorId="1" shapeId="0">
      <text>
        <r>
          <rPr>
            <sz val="9"/>
            <color indexed="81"/>
            <rFont val="Tahoma"/>
            <family val="2"/>
          </rPr>
          <t>METACOL 10%+IVA</t>
        </r>
      </text>
    </comment>
    <comment ref="F96" authorId="1" shapeId="0">
      <text>
        <r>
          <rPr>
            <sz val="9"/>
            <color indexed="81"/>
            <rFont val="Tahoma"/>
            <family val="2"/>
          </rPr>
          <t xml:space="preserve">HOMECENTER
</t>
        </r>
      </text>
    </comment>
    <comment ref="G96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96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F97" authorId="1" shapeId="0">
      <text>
        <r>
          <rPr>
            <sz val="9"/>
            <color indexed="81"/>
            <rFont val="Tahoma"/>
            <family val="2"/>
          </rPr>
          <t xml:space="preserve">HOMECENTER
</t>
        </r>
      </text>
    </comment>
    <comment ref="G97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97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F98" authorId="1" shapeId="0">
      <text>
        <r>
          <rPr>
            <sz val="9"/>
            <color indexed="81"/>
            <rFont val="Tahoma"/>
            <family val="2"/>
          </rPr>
          <t xml:space="preserve">HOMECENTER
</t>
        </r>
      </text>
    </comment>
    <comment ref="G98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98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F99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G99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99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F100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G100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0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F101" authorId="0" shapeId="0">
      <text>
        <r>
          <rPr>
            <sz val="9"/>
            <color indexed="81"/>
            <rFont val="Tahoma"/>
            <family val="2"/>
          </rPr>
          <t xml:space="preserve">Ferretería Godoy 
Tel. 0382636309
Atendio Yaneth
</t>
        </r>
      </text>
    </comment>
    <comment ref="G101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1" authorId="1" shapeId="0">
      <text>
        <r>
          <rPr>
            <sz val="9"/>
            <color indexed="81"/>
            <rFont val="Tahoma"/>
            <family val="2"/>
          </rPr>
          <t xml:space="preserve">FERRETERIA TUBERIAS Y HERRAMIENTAS DEL TOLIMA LTDA
Tel. 2652001
Atendio Martha
</t>
        </r>
      </text>
    </comment>
    <comment ref="C102" authorId="1" shapeId="0">
      <text>
        <r>
          <rPr>
            <sz val="9"/>
            <color indexed="81"/>
            <rFont val="Tahoma"/>
            <family val="2"/>
          </rPr>
          <t>Registro de Bola Liso
o Valvula de Bola</t>
        </r>
      </text>
    </comment>
    <comment ref="F102" authorId="1" shapeId="0">
      <text>
        <r>
          <rPr>
            <sz val="9"/>
            <color indexed="81"/>
            <rFont val="Tahoma"/>
            <family val="2"/>
          </rPr>
          <t xml:space="preserve">HOMCENTER IBAGUE
</t>
        </r>
      </text>
    </comment>
    <comment ref="G102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2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F103" authorId="1" shapeId="0">
      <text>
        <r>
          <rPr>
            <sz val="9"/>
            <color indexed="81"/>
            <rFont val="Tahoma"/>
            <family val="2"/>
          </rPr>
          <t xml:space="preserve">HOMCENTER IBAGUE
</t>
        </r>
      </text>
    </comment>
    <comment ref="G103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3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F104" authorId="1" shapeId="0">
      <text>
        <r>
          <rPr>
            <sz val="9"/>
            <color indexed="81"/>
            <rFont val="Tahoma"/>
            <family val="2"/>
          </rPr>
          <t xml:space="preserve">HOMCENTER IBAGUE
</t>
        </r>
      </text>
    </comment>
    <comment ref="G104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4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F105" authorId="1" shapeId="0">
      <text>
        <r>
          <rPr>
            <sz val="9"/>
            <color indexed="81"/>
            <rFont val="Tahoma"/>
            <family val="2"/>
          </rPr>
          <t xml:space="preserve">HOMCENTER IBAGUE
</t>
        </r>
      </text>
    </comment>
    <comment ref="G105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5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F106" authorId="1" shapeId="0">
      <text>
        <r>
          <rPr>
            <sz val="9"/>
            <color indexed="81"/>
            <rFont val="Tahoma"/>
            <family val="2"/>
          </rPr>
          <t>GRIFOEXPRES</t>
        </r>
      </text>
    </comment>
    <comment ref="G106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6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G107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H107" authorId="1" shapeId="0">
      <text>
        <r>
          <rPr>
            <sz val="9"/>
            <color indexed="81"/>
            <rFont val="Tahoma"/>
            <family val="2"/>
          </rPr>
          <t xml:space="preserve">TUBERIAS Y HERRAMIENTAS
</t>
        </r>
      </text>
    </comment>
    <comment ref="F116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16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17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17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18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18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19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19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0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0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1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1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2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2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3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3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4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4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5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5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6" authorId="1" shapeId="0">
      <text>
        <r>
          <rPr>
            <sz val="9"/>
            <color indexed="81"/>
            <rFont val="Tahoma"/>
            <family val="2"/>
          </rPr>
          <t xml:space="preserve">PRECIO METACOL IVA INCLUIDO
</t>
        </r>
      </text>
    </comment>
    <comment ref="G126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7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27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8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28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29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29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30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30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31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31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32" authorId="1" shapeId="0">
      <text>
        <r>
          <rPr>
            <sz val="9"/>
            <color indexed="81"/>
            <rFont val="Tahoma"/>
            <family val="2"/>
          </rPr>
          <t xml:space="preserve">METACOL 10%+IVA
</t>
        </r>
      </text>
    </comment>
    <comment ref="G132" authorId="1" shapeId="0">
      <text>
        <r>
          <rPr>
            <sz val="9"/>
            <color indexed="81"/>
            <rFont val="Tahoma"/>
            <family val="2"/>
          </rPr>
          <t>INGECOM
ALEXIS GUAUQUE
CEL.3006982355</t>
        </r>
      </text>
    </comment>
    <comment ref="F133" authorId="0" shapeId="0">
      <text>
        <r>
          <rPr>
            <sz val="9"/>
            <color indexed="81"/>
            <rFont val="Tahoma"/>
            <family val="2"/>
          </rPr>
          <t>Tuberia Presion Union Mecanica
Valor Precio x metro IVA Incluido</t>
        </r>
      </text>
    </comment>
    <comment ref="G133" authorId="0" shapeId="0">
      <text>
        <r>
          <rPr>
            <sz val="9"/>
            <color indexed="81"/>
            <rFont val="Tahoma"/>
            <family val="2"/>
          </rPr>
          <t xml:space="preserve">UNION PLATINO
Precio x metro IVA incluido
</t>
        </r>
      </text>
    </comment>
    <comment ref="H133" authorId="0" shapeId="0">
      <text>
        <r>
          <rPr>
            <sz val="9"/>
            <color indexed="81"/>
            <rFont val="Tahoma"/>
            <family val="2"/>
          </rPr>
          <t>TUBO UNION MECANICA RIEBER
Precio x metro IVA Incluido</t>
        </r>
      </text>
    </comment>
    <comment ref="F145" authorId="0" shapeId="0">
      <text>
        <r>
          <rPr>
            <sz val="9"/>
            <color indexed="81"/>
            <rFont val="Tahoma"/>
            <family val="2"/>
          </rPr>
          <t>Tuberia Presion Union Mecanica
Valor Precio x metro IVA Incluido</t>
        </r>
      </text>
    </comment>
    <comment ref="G145" authorId="0" shapeId="0">
      <text>
        <r>
          <rPr>
            <sz val="9"/>
            <color indexed="81"/>
            <rFont val="Tahoma"/>
            <family val="2"/>
          </rPr>
          <t xml:space="preserve">UNION PLATINO
Precio x metro IVA incluido
</t>
        </r>
      </text>
    </comment>
    <comment ref="H145" authorId="0" shapeId="0">
      <text>
        <r>
          <rPr>
            <sz val="9"/>
            <color indexed="81"/>
            <rFont val="Tahoma"/>
            <family val="2"/>
          </rPr>
          <t>TUBO UNION MECANICA RIEBER
Precio x metro IVA Incluido</t>
        </r>
      </text>
    </comment>
    <comment ref="F158" authorId="1" shapeId="0">
      <text>
        <r>
          <rPr>
            <sz val="9"/>
            <color indexed="81"/>
            <rFont val="Tahoma"/>
            <family val="2"/>
          </rPr>
          <t>FERRETERIA TUBERIAS Y HERRAMIENTAS DEL TOLIMA LTDA</t>
        </r>
      </text>
    </comment>
    <comment ref="G158" authorId="1" shapeId="0">
      <text>
        <r>
          <rPr>
            <sz val="9"/>
            <color indexed="81"/>
            <rFont val="Tahoma"/>
            <family val="2"/>
          </rPr>
          <t xml:space="preserve">MISCELANEA MORENO
</t>
        </r>
      </text>
    </comment>
    <comment ref="H158" authorId="1" shapeId="0">
      <text>
        <r>
          <rPr>
            <sz val="9"/>
            <color indexed="81"/>
            <rFont val="Tahoma"/>
            <family val="2"/>
          </rPr>
          <t>FERRETERIA SUMINISTROS INDUSTRIALES DEL TOLIMA</t>
        </r>
      </text>
    </comment>
    <comment ref="F159" authorId="1" shapeId="0">
      <text>
        <r>
          <rPr>
            <sz val="9"/>
            <color indexed="81"/>
            <rFont val="Tahoma"/>
            <family val="2"/>
          </rPr>
          <t>FERRETERIA TUBERIAS Y HERRAMIENTAS DEL TOLIMA LTDA</t>
        </r>
      </text>
    </comment>
    <comment ref="G159" authorId="1" shapeId="0">
      <text>
        <r>
          <rPr>
            <sz val="9"/>
            <color indexed="81"/>
            <rFont val="Tahoma"/>
            <family val="2"/>
          </rPr>
          <t xml:space="preserve">MISCELANEA MORENO
</t>
        </r>
      </text>
    </comment>
    <comment ref="H159" authorId="1" shapeId="0">
      <text>
        <r>
          <rPr>
            <sz val="9"/>
            <color indexed="81"/>
            <rFont val="Tahoma"/>
            <family val="2"/>
          </rPr>
          <t>FERRETERIA SUMINISTROS INDUSTRIALES DEL TOLIMA</t>
        </r>
      </text>
    </comment>
    <comment ref="F160" authorId="1" shapeId="0">
      <text>
        <r>
          <rPr>
            <sz val="9"/>
            <color indexed="81"/>
            <rFont val="Tahoma"/>
            <family val="2"/>
          </rPr>
          <t>FERRETERIA TUBERIAS Y HERRAMIENTAS DEL TOLIMA LTDA</t>
        </r>
      </text>
    </comment>
    <comment ref="G160" authorId="1" shapeId="0">
      <text>
        <r>
          <rPr>
            <sz val="9"/>
            <color indexed="81"/>
            <rFont val="Tahoma"/>
            <family val="2"/>
          </rPr>
          <t xml:space="preserve">MISCELANEA MORENO
</t>
        </r>
      </text>
    </comment>
    <comment ref="H160" authorId="1" shapeId="0">
      <text>
        <r>
          <rPr>
            <sz val="9"/>
            <color indexed="81"/>
            <rFont val="Tahoma"/>
            <family val="2"/>
          </rPr>
          <t>FERRETERIA SUMINISTROS INDUSTRIALES DEL TOLIMA</t>
        </r>
      </text>
    </comment>
    <comment ref="F161" authorId="1" shapeId="0">
      <text>
        <r>
          <rPr>
            <sz val="9"/>
            <color indexed="81"/>
            <rFont val="Tahoma"/>
            <family val="2"/>
          </rPr>
          <t>FERRETERIA TUBERIAS Y HERRAMIENTAS DEL TOLIMA LTDA</t>
        </r>
      </text>
    </comment>
    <comment ref="G161" authorId="1" shapeId="0">
      <text>
        <r>
          <rPr>
            <sz val="9"/>
            <color indexed="81"/>
            <rFont val="Tahoma"/>
            <family val="2"/>
          </rPr>
          <t xml:space="preserve">MISCELANEA MORENO
</t>
        </r>
      </text>
    </comment>
    <comment ref="H161" authorId="1" shapeId="0">
      <text>
        <r>
          <rPr>
            <sz val="9"/>
            <color indexed="81"/>
            <rFont val="Tahoma"/>
            <family val="2"/>
          </rPr>
          <t>FERRETERIA SUMINISTROS INDUSTRIALES DEL TOLIMA</t>
        </r>
      </text>
    </comment>
    <comment ref="F181" authorId="0" shapeId="0">
      <text>
        <r>
          <rPr>
            <b/>
            <sz val="9"/>
            <color indexed="81"/>
            <rFont val="Tahoma"/>
            <family val="2"/>
          </rPr>
          <t>Javier Susunaga:</t>
        </r>
        <r>
          <rPr>
            <sz val="9"/>
            <color indexed="81"/>
            <rFont val="Tahoma"/>
            <family val="2"/>
          </rPr>
          <t xml:space="preserve">
TUBERIA SUPRAFORT DE 6" A 20" Y 24", 27", 30" SUPRAFORT - 33, 36, 39, 42 SUPRALOC</t>
        </r>
      </text>
    </comment>
    <comment ref="G181" authorId="0" shapeId="0">
      <text>
        <r>
          <rPr>
            <b/>
            <sz val="9"/>
            <color indexed="81"/>
            <rFont val="Tahoma"/>
            <family val="2"/>
          </rPr>
          <t>Javier Susunaga:</t>
        </r>
        <r>
          <rPr>
            <sz val="9"/>
            <color indexed="81"/>
            <rFont val="Tahoma"/>
            <family val="2"/>
          </rPr>
          <t xml:space="preserve">
NOVAFORT</t>
        </r>
      </text>
    </comment>
  </commentList>
</comments>
</file>

<file path=xl/comments4.xml><?xml version="1.0" encoding="utf-8"?>
<comments xmlns="http://schemas.openxmlformats.org/spreadsheetml/2006/main">
  <authors>
    <author>Usuario</author>
  </authors>
  <commentList>
    <comment ref="F19" authorId="0" shapeId="0">
      <text>
        <r>
          <rPr>
            <sz val="9"/>
            <color indexed="81"/>
            <rFont val="Tahoma"/>
            <family val="2"/>
          </rPr>
          <t>CUATRO CUERDAS DE ALMABRE + 3% DE DESPERDICIO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un poste cada 2
m por kilometro</t>
        </r>
      </text>
    </comment>
    <comment ref="F22" authorId="0" shapeId="0">
      <text>
        <r>
          <rPr>
            <sz val="9"/>
            <color indexed="81"/>
            <rFont val="Tahoma"/>
            <family val="2"/>
          </rPr>
          <t>Un pie de amigo cada 30m</t>
        </r>
      </text>
    </comment>
  </commentList>
</comments>
</file>

<file path=xl/sharedStrings.xml><?xml version="1.0" encoding="utf-8"?>
<sst xmlns="http://schemas.openxmlformats.org/spreadsheetml/2006/main" count="20813" uniqueCount="1810">
  <si>
    <t>UNIDAD</t>
  </si>
  <si>
    <t>ML</t>
  </si>
  <si>
    <t>GLB</t>
  </si>
  <si>
    <t>HERRAMIENTA MENOR</t>
  </si>
  <si>
    <t>PRECIO</t>
  </si>
  <si>
    <t>HR</t>
  </si>
  <si>
    <t>RETROCARGADOR</t>
  </si>
  <si>
    <t>DIA</t>
  </si>
  <si>
    <t>TRITURADO</t>
  </si>
  <si>
    <t>M3</t>
  </si>
  <si>
    <t>VALOR</t>
  </si>
  <si>
    <t>ACTIVIDADES</t>
  </si>
  <si>
    <t>PRELIMINARES</t>
  </si>
  <si>
    <t>Acarreo interno en obra 50 mts</t>
  </si>
  <si>
    <t>DEMOLICIONES</t>
  </si>
  <si>
    <t>M2</t>
  </si>
  <si>
    <t>EXCAVACIONES A MANO</t>
  </si>
  <si>
    <t>De 0 a 2 mts en seco</t>
  </si>
  <si>
    <t>De 2 a 4 mts en seco</t>
  </si>
  <si>
    <t>Mayor de 4 mts en seco</t>
  </si>
  <si>
    <t>EXCAVACIONES A MAQUINA</t>
  </si>
  <si>
    <t>Excavaciones en material común y Conglomerado</t>
  </si>
  <si>
    <t>CONCRETOS</t>
  </si>
  <si>
    <t>OBRAS DE PAVIMENTACIÓN</t>
  </si>
  <si>
    <t>Rotura pavimento rígido E= 0,15 m.</t>
  </si>
  <si>
    <t>Rotura pavimento rígido E= 0,10 m.</t>
  </si>
  <si>
    <t>Rotura pavimento flexible E= 0,10 m.</t>
  </si>
  <si>
    <t>MAMPOSTERIA</t>
  </si>
  <si>
    <t>KG</t>
  </si>
  <si>
    <t>ALCANTARILLADO</t>
  </si>
  <si>
    <t>De 0.00 a 2.00 Mts</t>
  </si>
  <si>
    <t>De Profundidad 2 a 4 Mts</t>
  </si>
  <si>
    <t>De 0,00 a 2.00 Mts</t>
  </si>
  <si>
    <t>De 2,00 a 4.00 Mts</t>
  </si>
  <si>
    <t>DIAMETRO 1.20 Mts</t>
  </si>
  <si>
    <t>Base y cañuela en concreto de 3.000 PSI e = 0,30 Mts</t>
  </si>
  <si>
    <t>Cilindro en ladrillo e = 0,30 Mts</t>
  </si>
  <si>
    <t>Cono de reducción H = 0,65 Mts</t>
  </si>
  <si>
    <t>DIAMETRO 1.50 Mts</t>
  </si>
  <si>
    <t>Cono de reducción H = 0,90 Mts</t>
  </si>
  <si>
    <t>OTROS</t>
  </si>
  <si>
    <t>UND</t>
  </si>
  <si>
    <t>GB</t>
  </si>
  <si>
    <t>COMPRESOR</t>
  </si>
  <si>
    <t>OFICIAL</t>
  </si>
  <si>
    <t>Corte de Pavimento Flexible con Cortadora</t>
  </si>
  <si>
    <t>Corte de Pavimento Rigido con Cortadora</t>
  </si>
  <si>
    <t>LT</t>
  </si>
  <si>
    <t>POLISOMBRA</t>
  </si>
  <si>
    <t>ARENA</t>
  </si>
  <si>
    <t>Manejo de Aguas Con Diametros de 8" a 12"</t>
  </si>
  <si>
    <t>Manejo de Aguas Con Diametros de 12" a 24"</t>
  </si>
  <si>
    <t>Manejo de Aguas Con Diametros de 24" a 30"</t>
  </si>
  <si>
    <t>Manejo de Aguas mas de 30"</t>
  </si>
  <si>
    <t>VALOR REAL DEL SALARIO</t>
  </si>
  <si>
    <t>MOTONIVELADORA</t>
  </si>
  <si>
    <t>GAL</t>
  </si>
  <si>
    <t>PROFESIONALES</t>
  </si>
  <si>
    <t>Suministro de Recebo en zanja compactado c/ 15 Cms. Medio mecánico</t>
  </si>
  <si>
    <t>Demolición Muro sencillo  E=0,15</t>
  </si>
  <si>
    <t>Demolición Muro doble  E=0,25</t>
  </si>
  <si>
    <t xml:space="preserve">Excavaciones en material común </t>
  </si>
  <si>
    <t xml:space="preserve">Excavaciones en conglomerado </t>
  </si>
  <si>
    <t xml:space="preserve">Excavaciones en roca </t>
  </si>
  <si>
    <t>De 0 a 2 mts Bajo Agua</t>
  </si>
  <si>
    <t>De  2,00 a 4,00 mts Bajo Agua</t>
  </si>
  <si>
    <t>Mayor de 4 mts Bajo Agua</t>
  </si>
  <si>
    <t xml:space="preserve">Cargue, suministro, extendida y compactación de base granular </t>
  </si>
  <si>
    <t xml:space="preserve">Cargue, suministro, extendida y compactación de sub-base granular </t>
  </si>
  <si>
    <t>Aplicación carpeta asfáltica - incluye compactación</t>
  </si>
  <si>
    <t xml:space="preserve">Construcción placa en concreto 3000 p.s.i. e= 0,13 m. </t>
  </si>
  <si>
    <t xml:space="preserve">Construcción placa en concreto 3000 p.s.i. e= 0,15 m. </t>
  </si>
  <si>
    <t>De Diametro 6"</t>
  </si>
  <si>
    <t>De Diametro 8"</t>
  </si>
  <si>
    <t>De Diametro 10"</t>
  </si>
  <si>
    <t>De Diametro 12"</t>
  </si>
  <si>
    <t>De Diametro 14"</t>
  </si>
  <si>
    <t>De Diametro 16"</t>
  </si>
  <si>
    <t>De Diametro 18"</t>
  </si>
  <si>
    <t>De Diametro 20"</t>
  </si>
  <si>
    <t>De Diametro 24"</t>
  </si>
  <si>
    <t>De Diametro 27"</t>
  </si>
  <si>
    <t>De Diametro 30"</t>
  </si>
  <si>
    <t>De Diametro 36"</t>
  </si>
  <si>
    <t>De Diametro 40"</t>
  </si>
  <si>
    <t>De Diametro 44"</t>
  </si>
  <si>
    <t>De Diametro 48"</t>
  </si>
  <si>
    <t>INSTALACION DE TUBERIA PLASTICA O LISA Norma Técnica Colombiana 3722-1  y  5070 y Norma Tecnica Colombiana 4764</t>
  </si>
  <si>
    <t>De Diametro 33"</t>
  </si>
  <si>
    <t>De Diametro 39"</t>
  </si>
  <si>
    <t>De Diametro 42"</t>
  </si>
  <si>
    <t>SUMINISTRO E INSTALACION DE TUBERIA PLASTICA O LISA Norma Técnica Colombiana 3722-1 y Norma Tecnica Colombiana 4764 (100% de Ermeticidad)</t>
  </si>
  <si>
    <t>SUMINISTRO E INSTALACION DE TUBERIA PLASTICA O LISA Norma Técnica Colombiana 5070 y Norma Tecnica Colombiana 4764 (100% de Ermeticidad)</t>
  </si>
  <si>
    <t xml:space="preserve">CONSTRUCCION DE POZOS DE INSPECCION </t>
  </si>
  <si>
    <t xml:space="preserve">Pañete interior </t>
  </si>
  <si>
    <t>Pasos en hierro de 3/4" con anticorrosivo  C/40 cm</t>
  </si>
  <si>
    <t>Cámara de caida Diametro 8",revestida en concreto,malla con vena</t>
  </si>
  <si>
    <t>Cámara de caida Diametro 12"revestida en concreto,malla con vena</t>
  </si>
  <si>
    <t>Cilindro en concreto de 3000 psi  e= 0,20 M</t>
  </si>
  <si>
    <t>Trinchos en guadua</t>
  </si>
  <si>
    <t>Trinchos en esterilla</t>
  </si>
  <si>
    <t xml:space="preserve">Gaviones, triple torsion,cal 12, suministro e instalacion </t>
  </si>
  <si>
    <t>Limpieza de colectores</t>
  </si>
  <si>
    <t xml:space="preserve">Utilizacion de Motobomba </t>
  </si>
  <si>
    <t>MEZCLADORA</t>
  </si>
  <si>
    <t>VIBRADOR GASOLINA</t>
  </si>
  <si>
    <t>TERMINADORA ASFALTO</t>
  </si>
  <si>
    <t>VIBRO-COMPACTADOR</t>
  </si>
  <si>
    <t>COMPACTADOR LLANTA</t>
  </si>
  <si>
    <t>SALTARIN</t>
  </si>
  <si>
    <t>CONCRETO SIMPLE DE 2500 PSI</t>
  </si>
  <si>
    <t>CONCRETO SIMPLE DE 3000 PSI</t>
  </si>
  <si>
    <t>CONCRETO SIMPLE DE 4000 PSI</t>
  </si>
  <si>
    <t>CONCRETO CICLOPEO DE 2500 PSI</t>
  </si>
  <si>
    <t>CONCRETO CICLOPEO DE 3000 PSI</t>
  </si>
  <si>
    <t>MATERIAL</t>
  </si>
  <si>
    <t>CEMENTO</t>
  </si>
  <si>
    <t>VIBRADOR</t>
  </si>
  <si>
    <t>PIEDRA</t>
  </si>
  <si>
    <t>LADRILLO TOLETE COMUN</t>
  </si>
  <si>
    <t>MORTERO 1:4</t>
  </si>
  <si>
    <t>MORTERO 1:5</t>
  </si>
  <si>
    <t>TABLA DE CONCRETOS - MORTEROS - DOSIFICACION Y PRECIOS DE INSUMOS (SIN MANO DE OBRA Y FORMALETA)</t>
  </si>
  <si>
    <t>Transporte de Sobrantes</t>
  </si>
  <si>
    <t>Localización y replanteo Topografico</t>
  </si>
  <si>
    <t>RECEBO TIPO B200</t>
  </si>
  <si>
    <t>BASE GRANULAR TIPO B600</t>
  </si>
  <si>
    <t>Suministro e Instalacion de Material Filtrante Relleno (Pedraplen)</t>
  </si>
  <si>
    <t>RETROEXCAVADORA TIPO 100-200</t>
  </si>
  <si>
    <t>IMPERMEABILIZANTE CONCRETO</t>
  </si>
  <si>
    <t>FORMALETA METALICA</t>
  </si>
  <si>
    <t>Reconstrucción pavimento asfáltico E=2" - Incluye mezcla asfáltica E=2", base granular, E=0,25 m, y sub- base E=0,30 m</t>
  </si>
  <si>
    <t>Reconstrucción pavimento asfáltico E=3" - Incluye mezcla asfáltica E=3", base granular, E=0,25 m, y sub- base E=0,30 m</t>
  </si>
  <si>
    <t>Explanacion y Cajeo</t>
  </si>
  <si>
    <t>Nivelacion y Compactacion de la Subrasante</t>
  </si>
  <si>
    <t>Rotura de Pavimento Flexible</t>
  </si>
  <si>
    <t>Rotura de Pavimento Rigido</t>
  </si>
  <si>
    <t>ALAMBRE NEGRO</t>
  </si>
  <si>
    <t>AYUDANTE</t>
  </si>
  <si>
    <t>LB</t>
  </si>
  <si>
    <t>TUBO PLASTICO DE 8"</t>
  </si>
  <si>
    <t>TUBO PLASTICO DE 12"</t>
  </si>
  <si>
    <t>Cuneta sección L en concreto simple 3.000 PSI incluye base en recebo compactado e = 0,10 Mts</t>
  </si>
  <si>
    <t>GUADUA</t>
  </si>
  <si>
    <t>INGENIERO FORESTAL</t>
  </si>
  <si>
    <t>TACO GUADUA</t>
  </si>
  <si>
    <t>ESTERILLA</t>
  </si>
  <si>
    <t>GRAMA</t>
  </si>
  <si>
    <t>DIFERENCIAL</t>
  </si>
  <si>
    <t>INSTALACION DE TUBERIA DE CONCRETO CERTIFICADO NORMA 401 CLASE 2</t>
  </si>
  <si>
    <t>Cargue de Sobrantes a Mano</t>
  </si>
  <si>
    <t>8,1,1</t>
  </si>
  <si>
    <t>8,1,2</t>
  </si>
  <si>
    <t>8,1,3</t>
  </si>
  <si>
    <t>8,1,4</t>
  </si>
  <si>
    <t>8,1,5</t>
  </si>
  <si>
    <t>8,1,6</t>
  </si>
  <si>
    <t>8,1,7</t>
  </si>
  <si>
    <t>8,1,8</t>
  </si>
  <si>
    <t>8,1,9</t>
  </si>
  <si>
    <t>8,2,1</t>
  </si>
  <si>
    <t>8,2,2</t>
  </si>
  <si>
    <t>8,2,3</t>
  </si>
  <si>
    <t>8,2,4</t>
  </si>
  <si>
    <t>8,2,5</t>
  </si>
  <si>
    <t>8,2,6</t>
  </si>
  <si>
    <t>8,2,7</t>
  </si>
  <si>
    <t>8,2,8</t>
  </si>
  <si>
    <t>8,2,9</t>
  </si>
  <si>
    <t>9,1,1</t>
  </si>
  <si>
    <t>9,1,2</t>
  </si>
  <si>
    <t>9,1,3</t>
  </si>
  <si>
    <t>9,1,4</t>
  </si>
  <si>
    <t>9,1,5</t>
  </si>
  <si>
    <t>9,1,6</t>
  </si>
  <si>
    <t>9,1,7</t>
  </si>
  <si>
    <t>9,1,8</t>
  </si>
  <si>
    <t>9,1,9</t>
  </si>
  <si>
    <t xml:space="preserve">De Diametro 8"   </t>
  </si>
  <si>
    <t>13.1.1</t>
  </si>
  <si>
    <t>13.1.2</t>
  </si>
  <si>
    <t>13.1.3</t>
  </si>
  <si>
    <t>13.1.4</t>
  </si>
  <si>
    <t>OBRAS DE PAVIMENTACION</t>
  </si>
  <si>
    <t>14.1.1</t>
  </si>
  <si>
    <t>14.1.2</t>
  </si>
  <si>
    <t>14.1.3</t>
  </si>
  <si>
    <t>15.1.1</t>
  </si>
  <si>
    <t>15.1.2</t>
  </si>
  <si>
    <t>15.1.3</t>
  </si>
  <si>
    <t>15.1.4</t>
  </si>
  <si>
    <t>16.1.1</t>
  </si>
  <si>
    <t>16.1.2</t>
  </si>
  <si>
    <t>16.1.3</t>
  </si>
  <si>
    <t>17.1.1</t>
  </si>
  <si>
    <t>17.1.2</t>
  </si>
  <si>
    <t>17.1.3</t>
  </si>
  <si>
    <t>17.1.4</t>
  </si>
  <si>
    <t>17.1.5</t>
  </si>
  <si>
    <t>17.1.6</t>
  </si>
  <si>
    <t>17.1.7</t>
  </si>
  <si>
    <t>18.1.1</t>
  </si>
  <si>
    <t>18.1.2</t>
  </si>
  <si>
    <t>18.1.3</t>
  </si>
  <si>
    <t>18.1.4</t>
  </si>
  <si>
    <t>18.1.5</t>
  </si>
  <si>
    <t>18.1.6</t>
  </si>
  <si>
    <t>18.1.7</t>
  </si>
  <si>
    <t>19.1.1</t>
  </si>
  <si>
    <t>19.1.2</t>
  </si>
  <si>
    <t>19.1.3</t>
  </si>
  <si>
    <t>19.1.4</t>
  </si>
  <si>
    <t>19.1.5</t>
  </si>
  <si>
    <t>19.1.6</t>
  </si>
  <si>
    <t>19.1.7</t>
  </si>
  <si>
    <t>19.1.8</t>
  </si>
  <si>
    <t>19.1.9</t>
  </si>
  <si>
    <t>19.1.10</t>
  </si>
  <si>
    <t>19.1.11</t>
  </si>
  <si>
    <t>19.1.12</t>
  </si>
  <si>
    <t>19.1.13</t>
  </si>
  <si>
    <t>19.1.14</t>
  </si>
  <si>
    <t>19.1.15</t>
  </si>
  <si>
    <t>19.2.1</t>
  </si>
  <si>
    <t>19.2.2</t>
  </si>
  <si>
    <t>19.2.3</t>
  </si>
  <si>
    <t>19.2.4</t>
  </si>
  <si>
    <t>10.1.1</t>
  </si>
  <si>
    <t>10.1.2</t>
  </si>
  <si>
    <t>10.1.3</t>
  </si>
  <si>
    <t>10.1.4</t>
  </si>
  <si>
    <t>10.1.5</t>
  </si>
  <si>
    <t>10.1.6</t>
  </si>
  <si>
    <t>10.1.7</t>
  </si>
  <si>
    <t>10.1.8</t>
  </si>
  <si>
    <t>10.1.9</t>
  </si>
  <si>
    <t>11.1.1</t>
  </si>
  <si>
    <t>11.1.2</t>
  </si>
  <si>
    <t>11.1.3</t>
  </si>
  <si>
    <t>11.1.4</t>
  </si>
  <si>
    <t>11.1.5</t>
  </si>
  <si>
    <t>11.1.6</t>
  </si>
  <si>
    <t>11.1.7</t>
  </si>
  <si>
    <t>11.2.1</t>
  </si>
  <si>
    <t>11.2.2</t>
  </si>
  <si>
    <t>11.2.3</t>
  </si>
  <si>
    <t>11.2.4</t>
  </si>
  <si>
    <t>11.2.5</t>
  </si>
  <si>
    <t>11.2.6</t>
  </si>
  <si>
    <t>11.2.7</t>
  </si>
  <si>
    <t>12.1.1</t>
  </si>
  <si>
    <t>12.1.2</t>
  </si>
  <si>
    <t>12.1.3</t>
  </si>
  <si>
    <t>12.1.4</t>
  </si>
  <si>
    <t>12.1.5</t>
  </si>
  <si>
    <t>12.1.6</t>
  </si>
  <si>
    <t>12.1.7</t>
  </si>
  <si>
    <t>12.2.1</t>
  </si>
  <si>
    <t>12.2.2</t>
  </si>
  <si>
    <t>12.2.3</t>
  </si>
  <si>
    <t>12.2.4</t>
  </si>
  <si>
    <t>12.2.5</t>
  </si>
  <si>
    <t>12.2.6</t>
  </si>
  <si>
    <t>12.2.7</t>
  </si>
  <si>
    <t>ITEMS</t>
  </si>
  <si>
    <t>PAGO DEPOSITO EN ESCOMBRERA AUTORIZADA POR LA AUTORIDAD AMBIENTAL</t>
  </si>
  <si>
    <t>Cargue y Retiro de sobrantes hasta 8 Kms a Maquina</t>
  </si>
  <si>
    <t>Cargue y Retiro de sobrantes hasta 16 Kms a Maquina</t>
  </si>
  <si>
    <t>Cargue y Retiro de sobrantes hasta 24 Kms a Maquina</t>
  </si>
  <si>
    <t>MAESTRO</t>
  </si>
  <si>
    <t>Vibrocompactador</t>
  </si>
  <si>
    <t>Motoniveladora</t>
  </si>
  <si>
    <t>Ladrillo Tolete Común</t>
  </si>
  <si>
    <t xml:space="preserve"> Galápago Hd De 3” X 1/2” </t>
  </si>
  <si>
    <t xml:space="preserve"> Galápago Hd De 3” X 3/4” </t>
  </si>
  <si>
    <t xml:space="preserve"> Galápago Hd De 6” X 1/2” </t>
  </si>
  <si>
    <t xml:space="preserve"> Galápago Hd De 6” X 3/4” </t>
  </si>
  <si>
    <t>EQUIPO</t>
  </si>
  <si>
    <t>Terminadora de asfalto (Finisher)</t>
  </si>
  <si>
    <t>Agua</t>
  </si>
  <si>
    <t>Mortero 1:4</t>
  </si>
  <si>
    <t>ANÁLISIS DE PRECIOS UNITARIOS</t>
  </si>
  <si>
    <t>I. EQUIPO</t>
  </si>
  <si>
    <t>Descripción</t>
  </si>
  <si>
    <t>Tipo</t>
  </si>
  <si>
    <t>Tarifa/Hora</t>
  </si>
  <si>
    <t>Rendimiento</t>
  </si>
  <si>
    <t>Valor-Unit.</t>
  </si>
  <si>
    <t>ESTACION</t>
  </si>
  <si>
    <t>Sub-Total</t>
  </si>
  <si>
    <t>II. MATERIALES EN OBRA</t>
  </si>
  <si>
    <t>Unidad</t>
  </si>
  <si>
    <t>Precio-Unit.</t>
  </si>
  <si>
    <t>Cantidad</t>
  </si>
  <si>
    <t>III. TRANSPORTES</t>
  </si>
  <si>
    <t>Material</t>
  </si>
  <si>
    <t>Vol. Peso ó Cant.</t>
  </si>
  <si>
    <t>Distancia</t>
  </si>
  <si>
    <t>M3-Km</t>
  </si>
  <si>
    <t>Tarifa</t>
  </si>
  <si>
    <t>IV. MANO DE OBRA</t>
  </si>
  <si>
    <t>Trabajador</t>
  </si>
  <si>
    <t>Jornal</t>
  </si>
  <si>
    <t>Prestaciones</t>
  </si>
  <si>
    <t>Jornal Total</t>
  </si>
  <si>
    <t>TOPOGRAFO</t>
  </si>
  <si>
    <t>Total Costo Directo</t>
  </si>
  <si>
    <t>V. COSTOS INDIRECTOS</t>
  </si>
  <si>
    <t>Porcentaje</t>
  </si>
  <si>
    <t>Valor Total</t>
  </si>
  <si>
    <t>ADMINISTRACION</t>
  </si>
  <si>
    <t xml:space="preserve">IMPREVISTOS </t>
  </si>
  <si>
    <t>UTILIDAD</t>
  </si>
  <si>
    <t>Precio unitario total aproximado al peso</t>
  </si>
  <si>
    <t>ITEM: LOCALIZACION Y REPLANTEO TOPOGRAFICO</t>
  </si>
  <si>
    <t>UNIDAD  : ML</t>
  </si>
  <si>
    <t>ESPECIFICACIÓN: 1,1</t>
  </si>
  <si>
    <t>EMPRESA IBAGUEREÑA DE ACUEDUCTO Y ALCANTARILLADO</t>
  </si>
  <si>
    <t>IBAL S.A E.S.P OFICIAL</t>
  </si>
  <si>
    <t xml:space="preserve">PRELIMINARES: </t>
  </si>
  <si>
    <t>ITEM</t>
  </si>
  <si>
    <t>%</t>
  </si>
  <si>
    <t>IMPREVISTOS</t>
  </si>
  <si>
    <t>CADENERO</t>
  </si>
  <si>
    <t>ESPECIFICACIÓN: 1,2</t>
  </si>
  <si>
    <t>ITEM: TRANSPORTE DE SOBRANTE</t>
  </si>
  <si>
    <t>UNIDAD  : M3</t>
  </si>
  <si>
    <t>ESPECIFICACIÓN: 1,3</t>
  </si>
  <si>
    <t>ITEM: CARGUE DE SOBRANTES A MANO</t>
  </si>
  <si>
    <t>PRESTACIONES SOCIALES</t>
  </si>
  <si>
    <t>N°.</t>
  </si>
  <si>
    <t>ESPECIFICACIÓN: 1,4</t>
  </si>
  <si>
    <t>ITEM: CARGUE Y RETIRO DE SOBRANTES HASTA 8 KMTS A MAQUINA</t>
  </si>
  <si>
    <t>ESPECIFICACIÓN: 1,5</t>
  </si>
  <si>
    <t>ITEM: CARGUE Y RETIRO DE SOBRANTES HASTA 16 KMTS A MAQUINA</t>
  </si>
  <si>
    <t>ITEM: CARGUE Y RETIRO DE SOBRANTES HASTA 24 KMTS A MAQUINA</t>
  </si>
  <si>
    <t>ESPECIFICACIÓN: 1,6</t>
  </si>
  <si>
    <t>ESPECIFICACIÓN: 1,7</t>
  </si>
  <si>
    <t>ESPECIFICACIÓN: 1,8</t>
  </si>
  <si>
    <t>ESPECIFICACIÓN: 1,9</t>
  </si>
  <si>
    <t>ESPECIFICACIÓN: 1,10</t>
  </si>
  <si>
    <t>MADERA MEDIO CERCO (ESTACAS)</t>
  </si>
  <si>
    <t>AYUDANTES (2)</t>
  </si>
  <si>
    <t>AYUDANTE (2)</t>
  </si>
  <si>
    <t>ITEM: SUMINISTRO DE RECEBO EN ZANJA COMPACTADO  C/15 CMS MEDIO MECANICO</t>
  </si>
  <si>
    <t>ESPECIFICACIÓN: 1,11</t>
  </si>
  <si>
    <t>ESPECIFICACIÓN: 1,12</t>
  </si>
  <si>
    <t>ITEM: SUMINISTRO E INSTALACION DE MATERIAL FILTRANTE RELLENO (PEDRAPLEN)</t>
  </si>
  <si>
    <t>ITEM: DEMOLICION MURO SENCILLO E=0,15</t>
  </si>
  <si>
    <t>UNIDAD  : M2</t>
  </si>
  <si>
    <t>ESPECIFICACIÓN: 2,1</t>
  </si>
  <si>
    <t>AYUDANTE (3)</t>
  </si>
  <si>
    <t>ESPECIFICACIÓN: 2,2</t>
  </si>
  <si>
    <t>ITEM: DEMOLICION MURO DOBLE E=0,25</t>
  </si>
  <si>
    <t>ESPECIFICACIÓN: 2,3</t>
  </si>
  <si>
    <t>ESPECIFICACIÓN: 2,4</t>
  </si>
  <si>
    <t>ESPECIFICACIÓN: 2,5</t>
  </si>
  <si>
    <t>ITEM: DEMOLICION ESTRUCTURA CONCRETO REFORZADO</t>
  </si>
  <si>
    <t xml:space="preserve">DEMOLICIONES: </t>
  </si>
  <si>
    <t>ESPECIFICACIÓN: 3,1</t>
  </si>
  <si>
    <t>ESPECIFICACIÓN: 3,2</t>
  </si>
  <si>
    <t>ITEM: EXCAVACIONES EN MATERIAL COMUN</t>
  </si>
  <si>
    <t>ITEM: EXCAVACIONES EN CONGLOMERADO</t>
  </si>
  <si>
    <t>ESPECIFICACIÓN: 3,3</t>
  </si>
  <si>
    <t>ITEM: EXCAVACIONES EN ROCA</t>
  </si>
  <si>
    <t>ESPECIFICACIÓN: 3,4</t>
  </si>
  <si>
    <t>ESPECIFICACIÓN: 3,5</t>
  </si>
  <si>
    <t xml:space="preserve">EXCAVACIONES A MANO DE 0 A 2 MTS EN SECO: </t>
  </si>
  <si>
    <t xml:space="preserve">EXCAVACIONES A MANO DE 0 A 2 MTS BAJO AGUA: </t>
  </si>
  <si>
    <t>ESPECIFICACIÓN: 3,6</t>
  </si>
  <si>
    <t>ESPECIFICACIÓN: 3,7</t>
  </si>
  <si>
    <t xml:space="preserve">EXCAVACIONES A MANO DE 2 A 4 MTS EN SECO: </t>
  </si>
  <si>
    <t>ESPECIFICACIÓN: 3,8</t>
  </si>
  <si>
    <t>ESPECIFICACIÓN: 3,9</t>
  </si>
  <si>
    <t>ESPECIFICACIÓN: 3,10</t>
  </si>
  <si>
    <t>ESPECIFICACIÓN: 3,11</t>
  </si>
  <si>
    <t xml:space="preserve">EXCAVACIONES A MANO DE 2 A 4 MTS BAJO AGUA: </t>
  </si>
  <si>
    <t>ESPECIFICACIÓN: 3,12</t>
  </si>
  <si>
    <t>ESPECIFICACIÓN: 3,13</t>
  </si>
  <si>
    <t>ESPECIFICACIÓN: 3,14</t>
  </si>
  <si>
    <t xml:space="preserve">EXCAVACIONES A MANO MAYOR DE 4 MTS EN SECO: </t>
  </si>
  <si>
    <t>ESPECIFICACIÓN: 3,15</t>
  </si>
  <si>
    <t xml:space="preserve">EXCAVACIONES A MAQUINA DE O A 2 MTS EN SECO: </t>
  </si>
  <si>
    <t>ITEM: EXCAVACIONES EN MATERIAL COMUN Y CONGLOMERADO</t>
  </si>
  <si>
    <t>ESPECIFICACIÓN: 4,1</t>
  </si>
  <si>
    <t>ESPECIFICACIÓN: 4,2</t>
  </si>
  <si>
    <t xml:space="preserve">EXCAVACIONES A MAQUINA DE O A 2 MTS BAJO AGUA: </t>
  </si>
  <si>
    <t>ESPECIFICACIÓN: 4,3</t>
  </si>
  <si>
    <t>ESPECIFICACIÓN: 4,4</t>
  </si>
  <si>
    <t xml:space="preserve">EXCAVACIONES A MAQUINA DE 2 A 4 MTS EN SECO: </t>
  </si>
  <si>
    <t>ESPECIFICACIÓN: 4,6</t>
  </si>
  <si>
    <t>ESPECIFICACIÓN: 4,5</t>
  </si>
  <si>
    <t>ESPECIFICACIÓN: 4,7</t>
  </si>
  <si>
    <t xml:space="preserve">EXCAVACIONES A MAQUINA DE 2 A 4 MTS BAJO AGUA: </t>
  </si>
  <si>
    <t>ESPECIFICACIÓN: 4,8</t>
  </si>
  <si>
    <t xml:space="preserve">EXCAVACIONES A MAQUINA MAYOR DE 4 MTS EN SECO: </t>
  </si>
  <si>
    <t>ESPECIFICACIÓN: 4,9</t>
  </si>
  <si>
    <t>ESPECIFICACIÓN: 4,10</t>
  </si>
  <si>
    <t>ESPECIFICACIÓN: 4,11</t>
  </si>
  <si>
    <t xml:space="preserve">EXCAVACIONES A MAQUINA MAYOR DE 4 MTS BAJO AGUA: </t>
  </si>
  <si>
    <t>ESPECIFICACIÓN: 4,12</t>
  </si>
  <si>
    <t>ESPECIFICACIÓN: 5,1</t>
  </si>
  <si>
    <t>ESPECIFICACIÓN: 5,2</t>
  </si>
  <si>
    <t>OFICIAL (1)</t>
  </si>
  <si>
    <t>ESPECIFICACIÓN: 5,3</t>
  </si>
  <si>
    <t>FORMALETA MADERA</t>
  </si>
  <si>
    <t>CONCRETO SIMPLE 2500 PSI</t>
  </si>
  <si>
    <t>ESPECIFICACIÓN: 5,5</t>
  </si>
  <si>
    <t>AYUDANTE (4)</t>
  </si>
  <si>
    <t>ESPECIFICACIÓN: 5,6</t>
  </si>
  <si>
    <t>ESPECIFICACIÓN: 5,7</t>
  </si>
  <si>
    <t>ESPECIFICACIÓN: 5,8</t>
  </si>
  <si>
    <t>MAESTRO (1)</t>
  </si>
  <si>
    <t>ESPECIFICACIÓN: 5,9</t>
  </si>
  <si>
    <t>ESPECIFICACIÓN: 5,10</t>
  </si>
  <si>
    <t>ESPECIFICACIÓN: 5,11</t>
  </si>
  <si>
    <t>ITEM: ANDEN EN CONCRETO e=0,10 (NCLUYE ALISTADO Y NIVELACION)</t>
  </si>
  <si>
    <t>ESPECIFICACIÓN: 5,13</t>
  </si>
  <si>
    <t>ITEM: CARGUE, SUMINISTRO, EXTENDIDA Y COMPACTACION DE BASE GRANULAR</t>
  </si>
  <si>
    <t>VIBROCOMPACTADOR</t>
  </si>
  <si>
    <t>ESPECIFICACIÓN: 6,1</t>
  </si>
  <si>
    <t>ESPECIFICACIÓN: 6,2</t>
  </si>
  <si>
    <t>ITEM: CARGUE, SUMINISTRO, EXTENDIDA Y COMPACTACION DE SUB-BASE GRANULAR</t>
  </si>
  <si>
    <t>ESPECIFICACIÓN: 6,3</t>
  </si>
  <si>
    <t>ESPECIFICACIÓN: 6,4</t>
  </si>
  <si>
    <t>ESPECIFICACIÓN: 6,5</t>
  </si>
  <si>
    <t>ESPECIFICACIÓN: 6,6</t>
  </si>
  <si>
    <t>ITEM: APLICACIÓN CARPETA ASFALTICA-INCLUYE COMPACTACION</t>
  </si>
  <si>
    <t>TERMNADORA DE ASFALTO</t>
  </si>
  <si>
    <t>AYUDANTES (4)</t>
  </si>
  <si>
    <t>ESPECIFICACIÓN: 6,7</t>
  </si>
  <si>
    <t>ITEM: CONSTRUCCION PLACA EN CONCRETO 3000 PSI e=0,13m</t>
  </si>
  <si>
    <t>AYUDANTES (3)</t>
  </si>
  <si>
    <t>ESPECIFICACIÓN: 6,8</t>
  </si>
  <si>
    <t>ITEM: CONSTRUCCION PLACA EN CONCRETO 3000 PSI e=0,15m</t>
  </si>
  <si>
    <t>ESPECIFICACIÓN: 6,9</t>
  </si>
  <si>
    <t>ITEM: RECONSTRUCCION PAVIMENTO ASFALTICO E=2"-INCLUYE MEZCLA ASFALTICA E=2", BASE GRANULAR, E=0,25 m, Y SUB-BASE E=0,30 m</t>
  </si>
  <si>
    <t>AYUDANTES (5)</t>
  </si>
  <si>
    <t>ESPECIFICACIÓN: 6,10</t>
  </si>
  <si>
    <t>ITEM: RECONSTRUCCION PAVIMENTO ASFALTICO E=3"-INCLUYE MEZCLA ASFALTICA E=3", BASE GRANULAR, E=0,25 m, Y SUB-BASE E=0,30 m</t>
  </si>
  <si>
    <t>ESPECIFICACIÓN: 6,12</t>
  </si>
  <si>
    <t>ITEM: PARCHEO DE PAVIMENTO ASFALTICO- INLUYE IMPRIMACION O RIEGO DE LIGA, SUMINISTRO, EXTENDIDA Y COMPACTACION DE LA MEZCLA ASFALTICA</t>
  </si>
  <si>
    <t>ESPECIFICACIÓN: 6,13</t>
  </si>
  <si>
    <t>ITEM: ROTURA PAVIMENTO RIGIDO E= 0,15 m</t>
  </si>
  <si>
    <t>ESPECIFICACIÓN: 6,14</t>
  </si>
  <si>
    <t>ITEM: ROTURA PAVIMENTO RIGIDO E= 0,10 m</t>
  </si>
  <si>
    <t>ESPECIFICACIÓN: 6,15</t>
  </si>
  <si>
    <t>ITEM: ROTURA PAVIMENTO FLEXIBLE  E= 0,10 m</t>
  </si>
  <si>
    <t>ESPECIFICACIÓN: 6,16</t>
  </si>
  <si>
    <t>VOLQUETA TIPO B600 O SIMILAR</t>
  </si>
  <si>
    <t>ESPECIFICACIÓN: 6,17</t>
  </si>
  <si>
    <t>ESPECIFICACIÓN: 6,18</t>
  </si>
  <si>
    <t>ITEM: EXPLANACION Y CAJEO</t>
  </si>
  <si>
    <t>ESPECIFICACIÓN: 6,19</t>
  </si>
  <si>
    <t>ITEM: NIVELACION Y COMPACTACION DE LA SUBRASANTE</t>
  </si>
  <si>
    <t>ESPECIFICACIÓN: 6,20</t>
  </si>
  <si>
    <t>ITEM: CORTE DE PAVIMENTO FLEXIBLE CON CORTADORA</t>
  </si>
  <si>
    <t>ESPECIFICACIÓN: 6,21</t>
  </si>
  <si>
    <t>ITEM: CORTE DE PAVIMENTO RIGIDO CON CORTADORA</t>
  </si>
  <si>
    <t>ESPECIFICACIÓN: 6,22</t>
  </si>
  <si>
    <t>ITEM: ROTURA DE PAVIMENTO RIGIDO</t>
  </si>
  <si>
    <t>ITEM: ROTURA DE PAVIMENTO FLEXIBLE</t>
  </si>
  <si>
    <t>ESPECIFICACIÓN: 7,1</t>
  </si>
  <si>
    <t>ITEM: MURO EN LADRILLO TOLETE COMUN e=12 Cms</t>
  </si>
  <si>
    <t>AYUDANTES (1)</t>
  </si>
  <si>
    <t>ESPECIFICACIÓN: 7,2</t>
  </si>
  <si>
    <t>ESPECIFICACIÓN: 7,3</t>
  </si>
  <si>
    <t>ESPECIFICACIÓN: 8,1,1</t>
  </si>
  <si>
    <t>ITEM: DE 0 A 2 MTS DE DIAMETRO 6"</t>
  </si>
  <si>
    <t>TUBO CONCRETO CLASE 2 D=6" (incluye sello caucho)</t>
  </si>
  <si>
    <t>ESPECIFICACIÓN: 8,1,2</t>
  </si>
  <si>
    <t>ITEM: DE 0 A 2 MTS DE DIAMETRO 8"</t>
  </si>
  <si>
    <t>TUBO CONCRETO CLASE 2 D=8" (incluye sello caucho)</t>
  </si>
  <si>
    <t>ESPECIFICACIÓN: 8,1,3</t>
  </si>
  <si>
    <t>ITEM: DE 0 A 2 MTS DE DIAMETRO 10"</t>
  </si>
  <si>
    <t>TUBO CONCRETO CLASE 2 D=10" (incluye sello caucho)</t>
  </si>
  <si>
    <t>ESPECIFICACIÓN: 8,1,4</t>
  </si>
  <si>
    <t>ITEM: DE 0 A 2 MTS DE DIAMETRO 12"</t>
  </si>
  <si>
    <t>TUBO CONCRETO CLASE 2 D=12" (incluye sello caucho)</t>
  </si>
  <si>
    <t>ESPECIFICACIÓN: 8,1,5</t>
  </si>
  <si>
    <t>ITEM: DE 0 A 2 MTS DE DIAMETRO 14"</t>
  </si>
  <si>
    <t>TUBO CONCRETO CLASE 2 D=14" (incluye sello caucho)</t>
  </si>
  <si>
    <t>ESPECIFICACIÓN: 8,1,6</t>
  </si>
  <si>
    <t>ITEM: DE 0 A 2 MTS DE DIAMETRO 16"</t>
  </si>
  <si>
    <t>TUBO CONCRETO CLASE 2 D=16" (incluye sello caucho)</t>
  </si>
  <si>
    <t>ESPECIFICACIÓN: 8,1,7</t>
  </si>
  <si>
    <t>ITEM: DE 0 A 2 MTS DE DIAMETRO 18"</t>
  </si>
  <si>
    <t>TUBO CONCRETO CLASE 2 D=18" (incluye sello caucho)</t>
  </si>
  <si>
    <t>ESPECIFICACIÓN: 8,1,8</t>
  </si>
  <si>
    <t>ITEM: DE 0 A 2 MTS DE DIAMETRO 20"</t>
  </si>
  <si>
    <t>TUBO CONCRETO CLASE 2 D=20" (incluye sello caucho)</t>
  </si>
  <si>
    <t>ESPECIFICACIÓN: 8,1,9</t>
  </si>
  <si>
    <t>ITEM: DE 0 A 2 MTS DE DIAMETRO 24"</t>
  </si>
  <si>
    <t>TUBO CONCRETO CLASE 2 D=24" (incluye sello caucho)</t>
  </si>
  <si>
    <t>ITEM: DE 2 A 4 MTS DE DIAMETRO 6"</t>
  </si>
  <si>
    <t>ESPECIFICACIÓN: 8,2,1</t>
  </si>
  <si>
    <t>ESPECIFICACIÓN: 8,2,2</t>
  </si>
  <si>
    <t>ITEM: DE 2 A 4 MTS DE DIAMETRO 8"</t>
  </si>
  <si>
    <t xml:space="preserve">TUBO CONCRETO CLASE 2 D=6" </t>
  </si>
  <si>
    <t>ESPECIFICACIÓN: 8,2,3</t>
  </si>
  <si>
    <t>ITEM: DE 2 A 4 MTS DE DIAMETRO 10"</t>
  </si>
  <si>
    <t xml:space="preserve">TUBO CONCRETO CLASE 2 D=10" </t>
  </si>
  <si>
    <t xml:space="preserve">TUBO CONCRETO CLASE 2 D=8" </t>
  </si>
  <si>
    <t>ESPECIFICACIÓN: 8,2,4</t>
  </si>
  <si>
    <t>ITEM: DE 2 A 4 MTS DE DIAMETRO 12"</t>
  </si>
  <si>
    <t xml:space="preserve">TUBO CONCRETO CLASE 2 D=12" </t>
  </si>
  <si>
    <t>ESPECIFICACIÓN: 8,2,5</t>
  </si>
  <si>
    <t>ITEM: DE 2 A 4 MTS DE DIAMETRO 14"</t>
  </si>
  <si>
    <t xml:space="preserve">TUBO CONCRETO CLASE 2 D=14" </t>
  </si>
  <si>
    <t>ESPECIFICACIÓN: 8,2,6</t>
  </si>
  <si>
    <t>ITEM: DE 2 A 4 MTS DE DIAMETRO 18"</t>
  </si>
  <si>
    <t>ITEM: DE 2 A 4 MTS DE DIAMETRO 16"</t>
  </si>
  <si>
    <t>TUBO CONCRETO CLASE 2 D=16" (INCLUYE SELLO DE CAUCHO)</t>
  </si>
  <si>
    <t>ESPECIFICACIÓN: 8,2,7</t>
  </si>
  <si>
    <t>TUBO CONCRETO CLASE 2 D=18" (INCLUYE SELLO DE CAUCHO)</t>
  </si>
  <si>
    <t>ESPECIFICACIÓN: 8,2,8</t>
  </si>
  <si>
    <t>ITEM: DE 2 A 4 MTS DE DIAMETRO 20"</t>
  </si>
  <si>
    <t>TUBO CONCRETO CLASE 2 D=20" (INCLUYE SELLO DE CAUCHO)</t>
  </si>
  <si>
    <t>ESPECIFICACIÓN: 8,2,9</t>
  </si>
  <si>
    <t>ITEM: DE 2 A 4 MTS DE DIAMETRO 24"</t>
  </si>
  <si>
    <t>TUBO CONCRETO CLASE 2 D=24" (INCLUYE SELLO DE CAUCHO)</t>
  </si>
  <si>
    <t>INSTALACION DE TUBERIA DE CONCRETO CERTIFICADO NORMA 1022 CLASE 2</t>
  </si>
  <si>
    <t>ESPECIFICACIÓN: 9,1,1</t>
  </si>
  <si>
    <t>ESPECIFICACIÓN: 9,1,2</t>
  </si>
  <si>
    <t>ESPECIFICACIÓN: 9,1,3</t>
  </si>
  <si>
    <t>ESPECIFICACIÓN: 9,1,4</t>
  </si>
  <si>
    <t>ESPECIFICACIÓN: 9,1,5</t>
  </si>
  <si>
    <t>ESPECIFICACIÓN: 9,1,6</t>
  </si>
  <si>
    <t>ESPECIFICACIÓN: 9,1,7</t>
  </si>
  <si>
    <t>ESPECIFICACIÓN: 9,1,8</t>
  </si>
  <si>
    <t>ESPECIFICACIÓN: 9,1,9</t>
  </si>
  <si>
    <t>ESPECIFICACIÓN: 10,1,1</t>
  </si>
  <si>
    <t>ESPECIFICACIÓN: 10,1,2</t>
  </si>
  <si>
    <t>ESPECIFICACIÓN: 10,1,3</t>
  </si>
  <si>
    <t>ESPECIFICACIÓN: 10,1,4</t>
  </si>
  <si>
    <t>ESPECIFICACIÓN: 10,1,5</t>
  </si>
  <si>
    <t>ESPECIFICACIÓN: 10,1,6</t>
  </si>
  <si>
    <t>ESPECIFICACIÓN: 10,1,7</t>
  </si>
  <si>
    <t>ESPECIFICACIÓN: 10,1,8</t>
  </si>
  <si>
    <t>ESPECIFICACIÓN: 10,1,9</t>
  </si>
  <si>
    <t>ESPECIFICACIÓN: 11,1,1</t>
  </si>
  <si>
    <t>ITEM: DE 0 A 2 MTS DE DIAMETRO DE 24"</t>
  </si>
  <si>
    <t>TRANSPORTE DE TUBERIA</t>
  </si>
  <si>
    <t>ESPECIFICACIÓN: 11,1,2</t>
  </si>
  <si>
    <t>ITEM: DE 0 A 2 MTS DE DIAMETRO DE 27"</t>
  </si>
  <si>
    <t>ESPECIFICACIÓN: 11,1,3</t>
  </si>
  <si>
    <t>ITEM: DE 0 A 2 MTS DE DIAMETRO DE 30"</t>
  </si>
  <si>
    <t>ESPECIFICACIÓN: 11,1,4</t>
  </si>
  <si>
    <t>ITEM: DE 0 A 2 MTS DE DIAMETRO DE 36"</t>
  </si>
  <si>
    <t>ESPECIFICACIÓN: 11,1,5</t>
  </si>
  <si>
    <t>ITEM: DE 0 A 2 MTS DE DIAMETRO DE 40"</t>
  </si>
  <si>
    <t>ESPECIFICACIÓN: 11,1,6</t>
  </si>
  <si>
    <t>ITEM: DE 0 A 2 MTS DE DIAMETRO DE 48"</t>
  </si>
  <si>
    <t>ITEM: DE 0 A 2 MTS DE DIAMETRO DE 44"</t>
  </si>
  <si>
    <t>ESPECIFICACIÓN: 11,1,7</t>
  </si>
  <si>
    <t>ESPECIFICACIÓN: 11,2,1</t>
  </si>
  <si>
    <t>ESPECIFICACIÓN: 11,2,2</t>
  </si>
  <si>
    <t>ITEM: DE 2A 4 MTS DE DISEMETRO 24"</t>
  </si>
  <si>
    <t>ESPECIFICACIÓN: 11,2,3</t>
  </si>
  <si>
    <t>ITEM: DE 2A 4 MTS DE DIAMETRO 30"</t>
  </si>
  <si>
    <t>ITEM: DE 2A 4 MTS DE DIAMETRO 27"</t>
  </si>
  <si>
    <t>ESPECIFICACIÓN: 11,2,4</t>
  </si>
  <si>
    <t>ITEM: DE 2A 4 MTS DE DIAMETRO 36"</t>
  </si>
  <si>
    <t>ESPECIFICACIÓN: 11,2,5</t>
  </si>
  <si>
    <t>ITEM: DE 2A 4 MTS DE DIAMETRO 40"</t>
  </si>
  <si>
    <t>ESPECIFICACIÓN: 11,2,6</t>
  </si>
  <si>
    <t>ITEM: DE 2A 4 MTS DE DIAMETRO 44"</t>
  </si>
  <si>
    <t>ESPECIFICACIÓN: 11,2,7</t>
  </si>
  <si>
    <t>ITEM: DE 2A 4 MTS DE DIAMETRO 48"</t>
  </si>
  <si>
    <t>ESPECIFICACIÓN: 12,1,1</t>
  </si>
  <si>
    <t>ESPECIFICACIÓN: 12,1,2</t>
  </si>
  <si>
    <t>TUBO DE CONCRETO CLASE 2 D= 24" (INCLUYE SELLO DE CAUCHO)</t>
  </si>
  <si>
    <t>TUBO DE CONCRETO CLASE 2 D= 27"(INCLUYE SELLO CAUCHO)</t>
  </si>
  <si>
    <t>ESPECIFICACIÓN: 12,1,3</t>
  </si>
  <si>
    <t>ITEM: DE 0 A 2 MTS DE DIAMETRO 27"</t>
  </si>
  <si>
    <t>ITEM: DE 0 A 2 MTS DE DIAMETRO 30"</t>
  </si>
  <si>
    <t>TUBO DE CONCRETO CLASE 2 D= 30"(INCLUYE SELLO CAUCHO)</t>
  </si>
  <si>
    <t>ESPECIFICACIÓN: 12,1,4</t>
  </si>
  <si>
    <t>ITEM: DE 0 A 2 MTS DE DIAMETRO 36"</t>
  </si>
  <si>
    <t>ESPECIFICACIÓN: 12,1,5</t>
  </si>
  <si>
    <t>ITEM: DE 0 A 2 MTS DE DIAMETRO 40"</t>
  </si>
  <si>
    <t>ESPECIFICACIÓN: 12,1,6</t>
  </si>
  <si>
    <t>ITEM: DE 0 A 2 MTS DE DIAMETRO 44"</t>
  </si>
  <si>
    <t>TUBO DE CONCRETO CLASE 2 D= 40"</t>
  </si>
  <si>
    <t>TUBO DE CONCRETO CLASE 2 D= 36"</t>
  </si>
  <si>
    <t>ESPECIFICACIÓN: 12,1,7</t>
  </si>
  <si>
    <t>ITEM: DE 0 A 2 MTS DE DIAMETRO 48"</t>
  </si>
  <si>
    <t>TUBO DE CONCRETO CLASE 2 D= 48"</t>
  </si>
  <si>
    <t>TUBO DE CONCRETO CLASE 2 D= 44"</t>
  </si>
  <si>
    <t>ESPECIFICACIÓN: 12,2,1</t>
  </si>
  <si>
    <t>TUBO DE CONCRETO CLASE 2 D= 24"</t>
  </si>
  <si>
    <t>ESPECIFICACIÓN: 12,2,2</t>
  </si>
  <si>
    <t>TUBO DE CONCRETO CLASE 2 D= 27"</t>
  </si>
  <si>
    <t>ESPECIFICACIÓN: 12,2,3</t>
  </si>
  <si>
    <t>TUBO DE CONCRETO CLASE 2 D= 30"</t>
  </si>
  <si>
    <t>ESPECIFICACIÓN: 12,2,4</t>
  </si>
  <si>
    <t>ESPECIFICACIÓN: 12,2,5</t>
  </si>
  <si>
    <t>ESPECIFICACIÓN: 12,2,6</t>
  </si>
  <si>
    <t>ESPECIFICACIÓN: 12,2,7</t>
  </si>
  <si>
    <t>ESPECIFICACIÓN: 13,1,1</t>
  </si>
  <si>
    <t>INSTALACION DE TUBERIA PLASTICA O LISA NTC 3722-1 Y 5070 Y NTC 4764</t>
  </si>
  <si>
    <t>ITEM: DE 2 A 4 MTS DE DIAMETRO 48"</t>
  </si>
  <si>
    <t>ITEM: DE 2 A 4 MTS DE DIAMETRO 44"</t>
  </si>
  <si>
    <t>ITEM: DE 2 A 4 MTS DE DIAMETRO 40"</t>
  </si>
  <si>
    <t>ITEM: DE 2 A 4 MTS DE DIAMETRO 36"</t>
  </si>
  <si>
    <t>ITEM: DE 2 A 4 MTS DE DIAMETRO 27"</t>
  </si>
  <si>
    <t>ITEM: DE 2 A 4 MTS DE DIAMETRO 30"</t>
  </si>
  <si>
    <t>ESPECIFICACIÓN: 13,1,2</t>
  </si>
  <si>
    <t>TRANSPORTE</t>
  </si>
  <si>
    <t>ESPECIFICACIÓN: 13,1,3</t>
  </si>
  <si>
    <t>ESPECIFICACIÓN: 13,1,4</t>
  </si>
  <si>
    <t>TUBO PLASTICO D=12"</t>
  </si>
  <si>
    <t>ESPECIFICACIÓN: 13,1,5</t>
  </si>
  <si>
    <t>ESPECIFICACIÓN: 13,1,6</t>
  </si>
  <si>
    <t>ESPECIFICACIÓN: 13,1,7</t>
  </si>
  <si>
    <t>ESPECIFICACIÓN: 13,1,8</t>
  </si>
  <si>
    <t xml:space="preserve">ITEM: DE 0 A 2 MTS DE DIAMETRO 24" </t>
  </si>
  <si>
    <t>ESPECIFICACIÓN: 13,1,9</t>
  </si>
  <si>
    <t xml:space="preserve">ITEM: DE 0 A 2 MTS DE DIAMETRO 27" </t>
  </si>
  <si>
    <t>ESPECIFICACIÓN: 13,1,10</t>
  </si>
  <si>
    <t xml:space="preserve">ITEM: DE 0 A 2 MTS DE DIAMETRO 30" </t>
  </si>
  <si>
    <t>ESPECIFICACIÓN: 13,1,11</t>
  </si>
  <si>
    <t xml:space="preserve">ITEM: DE 0 A 2 MTS DE DIAMETRO 33" </t>
  </si>
  <si>
    <t>ESPECIFICACIÓN: 13,1,12</t>
  </si>
  <si>
    <t xml:space="preserve">ITEM: DE 0 A 2 MTS DE DIAMETRO 36" </t>
  </si>
  <si>
    <t>ESPECIFICACIÓN: 14,1,1</t>
  </si>
  <si>
    <t>ESPECIFICACIÓN: 14,1,2</t>
  </si>
  <si>
    <t>ESPECIFICACIÓN: 14,1,3</t>
  </si>
  <si>
    <t>ESPECIFICACIÓN: 14,1,4</t>
  </si>
  <si>
    <t>ESPECIFICACIÓN: 14,1,5</t>
  </si>
  <si>
    <t>ESPECIFICACIÓN: 14,1,6</t>
  </si>
  <si>
    <t>ESPECIFICACIÓN: 14,1,7</t>
  </si>
  <si>
    <t>ESPECIFICACIÓN: 14,1,8</t>
  </si>
  <si>
    <t>ESPECIFICACIÓN: 14,1,9</t>
  </si>
  <si>
    <t>ESPECIFICACIÓN: 14,1,10</t>
  </si>
  <si>
    <t>ITEM: DE 2 A 4 MTS DE DIAMETRO 33"</t>
  </si>
  <si>
    <t>ESPECIFICACIÓN: 14,1,11</t>
  </si>
  <si>
    <t>ESPECIFICACIÓN: 15,1,1</t>
  </si>
  <si>
    <t>SUMINISTRO E INSTALACION DE TUBERIA PLASTICA O LISA NTC 3722-1 Y NTC 4764 (100% DE HERMETICIDAD)</t>
  </si>
  <si>
    <t>ESPECIFICACIÓN: 15,1,2</t>
  </si>
  <si>
    <t>ESPECIFICACIÓN: 15,1,3</t>
  </si>
  <si>
    <t>ESPECIFICACIÓN: 15,1,4</t>
  </si>
  <si>
    <t>ESPECIFICACIÓN: 15,1,5</t>
  </si>
  <si>
    <t>ESPECIFICACIÓN: 15,1,6</t>
  </si>
  <si>
    <t>ESPECIFICACIÓN: 15,1,7</t>
  </si>
  <si>
    <t>ESPECIFICACIÓN: 16,1,1</t>
  </si>
  <si>
    <t>ESPECIFICACIÓN: 16,1,2</t>
  </si>
  <si>
    <t>ESPECIFICACIÓN: 16,1,3</t>
  </si>
  <si>
    <t>ESPECIFICACIÓN: 16,1,4</t>
  </si>
  <si>
    <t>ESPECIFICACIÓN: 16,1,5</t>
  </si>
  <si>
    <t>ESPECIFICACIÓN: 16,1,6</t>
  </si>
  <si>
    <t>ESPECIFICACIÓN: 17,1,1</t>
  </si>
  <si>
    <t>SUMINISTRO E INSTALACION DE TUBERIA PLASTICA O LISA NTC 5070  Y NTC 4764 (100% DE HERMETICIDAD)</t>
  </si>
  <si>
    <t>TUBO PLASTICO D=24"</t>
  </si>
  <si>
    <t>ESPECIFICACIÓN: 17,1,2</t>
  </si>
  <si>
    <t>TUBO PLASTICO D=27"</t>
  </si>
  <si>
    <t>ESPECIFICACIÓN: 17,1,3</t>
  </si>
  <si>
    <t>TUBO PLASTICO D=30"</t>
  </si>
  <si>
    <t>ESPECIFICACIÓN: 17,1,4</t>
  </si>
  <si>
    <t>TUBO PLASTICO D=33"</t>
  </si>
  <si>
    <t>ESPECIFICACIÓN: 17,1,5</t>
  </si>
  <si>
    <t>TUBO PLASTICO D=36"</t>
  </si>
  <si>
    <t>ESPECIFICACIÓN: 17,1,6</t>
  </si>
  <si>
    <t xml:space="preserve">ITEM: DE 0 A 2 MTS DE DIAMETRO 39" </t>
  </si>
  <si>
    <t>TUBO PLASTICO D=39"</t>
  </si>
  <si>
    <t>ESPECIFICACIÓN: 17,1,7</t>
  </si>
  <si>
    <t xml:space="preserve">ITEM: DE 0 A 2 MTS DE DIAMETRO 42" </t>
  </si>
  <si>
    <t>TUBO PLASTICO D=42"</t>
  </si>
  <si>
    <t>ESPECIFICACIÓN: 18,1,1</t>
  </si>
  <si>
    <t xml:space="preserve">ITEM: DE 2 A 4 MTS DE DIAMETRO 24" </t>
  </si>
  <si>
    <t>ESPECIFICACIÓN: 18,1,2</t>
  </si>
  <si>
    <t xml:space="preserve">ITEM: DE 2 A 4 MTS DE DIAMETRO 27" </t>
  </si>
  <si>
    <t>ESPECIFICACIÓN: 18,1,3</t>
  </si>
  <si>
    <t xml:space="preserve">ITEM: DE 2 A 4 MTS DE DIAMETRO 30" </t>
  </si>
  <si>
    <t>ESPECIFICACIÓN: 18,1,4</t>
  </si>
  <si>
    <t xml:space="preserve">ITEM: DE 2 A 4 MTS DE DIAMETRO 33" </t>
  </si>
  <si>
    <t>ESPECIFICACIÓN: 18,1,5</t>
  </si>
  <si>
    <t xml:space="preserve">ITEM: DE 2 A 4 MTS DE DIAMETRO 36" </t>
  </si>
  <si>
    <t>ESPECIFICACIÓN: 18,1,6</t>
  </si>
  <si>
    <t xml:space="preserve">ITEM: DE 2 A 4 MTS DE DIAMETRO 39" </t>
  </si>
  <si>
    <t>ESPECIFICACIÓN: 18,1,7</t>
  </si>
  <si>
    <t xml:space="preserve">ITEM: DE 2 A 4 MTS DE DIAMETRO 42" </t>
  </si>
  <si>
    <t>ESPECIFICACIÓN: 19,1,1</t>
  </si>
  <si>
    <t>CONSTRUCCION DE POZOS DE NSPECCION (DIAMETRO 1.20 Mts)</t>
  </si>
  <si>
    <t>ITEM: BASE Y CAÑUELA EN CONCRETO DE 3000 PSI e=0,30 Mts</t>
  </si>
  <si>
    <t>ESPECIFICACIÓN: 19,1,2</t>
  </si>
  <si>
    <t>ITEM: PAÑETE INTERIOR</t>
  </si>
  <si>
    <t>ESPECIFICACIÓN: 19,1,3</t>
  </si>
  <si>
    <t>ITEM: CILINDRO EN LADRILLO e=0,30 Mts</t>
  </si>
  <si>
    <t>ESPECIFICACIÓN: 19,1,4</t>
  </si>
  <si>
    <t>ITEM: CONO DE REDUCCION H=0,65 Mts</t>
  </si>
  <si>
    <t>UNIDAD  :UND</t>
  </si>
  <si>
    <t>UNIDAD  : UND</t>
  </si>
  <si>
    <t>ESPECIFICACIÓN: 19,1,5</t>
  </si>
  <si>
    <t>ITEM: PASOS EN HIERRO DE 3/4" CON ANTICORROSIVO C/40 Cm</t>
  </si>
  <si>
    <t>ACERO DE REFUERZO (cortado, figurado e instalado)</t>
  </si>
  <si>
    <t>ESPECIFICACIÓN: 19,1,6</t>
  </si>
  <si>
    <t>ESPECIFICACIÓN: 19,1,7</t>
  </si>
  <si>
    <t>ESPECIFICACIÓN: 19,1,8</t>
  </si>
  <si>
    <t>ESPECIFICACIÓN: 19,1,9</t>
  </si>
  <si>
    <t>ESPECIFICACIÓN: 19,1,10</t>
  </si>
  <si>
    <t>ESPECIFICACIÓN: 19,1,11</t>
  </si>
  <si>
    <t>ESPECIFICACIÓN: 19,1,12</t>
  </si>
  <si>
    <t>ITEM: CAMARA DE CAIDA DIAMETRO 8" REVESTIDA EN CONCRETO, MALLA CON VENA</t>
  </si>
  <si>
    <t>CONCRETO SIMPLE DE 3000 PSI (incluye malla con vena)</t>
  </si>
  <si>
    <t>ESPECIFICACIÓN: 19,1,13</t>
  </si>
  <si>
    <t>ITEM: CAMARA DE CAIDA DIAMETRO 12" REVESTIDA EN CONCRETO, MALLA CON VENA</t>
  </si>
  <si>
    <t>ESPECIFICACIÓN: 19,1,14</t>
  </si>
  <si>
    <t>ITEM: CILINDRO EN CONCRETO DE 3000 PSI e=0,20 M</t>
  </si>
  <si>
    <t>FORMALETA METALICA CONICA</t>
  </si>
  <si>
    <t xml:space="preserve">CONCRETO SIMPLE DE 3000 PSI </t>
  </si>
  <si>
    <t>ESPECIFICACIÓN: 19,1,15</t>
  </si>
  <si>
    <t>ITEM: CUNETA SECCION L EN CONCRETO SIMPLE 3000 PSI INCLUYE BASE EN RECEBO COMPACTADO e=0,10 Mts</t>
  </si>
  <si>
    <t>ESPECIFICACIÓN: 19,2,1</t>
  </si>
  <si>
    <t>CONSTRUCCION DE POZOS DE NSPECCION (DIAMETRO 1.50 Mts)</t>
  </si>
  <si>
    <t>ESPECIFICACIÓN: 19,2,2</t>
  </si>
  <si>
    <t>ESPECIFICACIÓN: 19,2,3</t>
  </si>
  <si>
    <t>ESPECIFICACIÓN: 19,2,4</t>
  </si>
  <si>
    <t>ITEM: CONO DE REDUCCION H=0,90 Mts</t>
  </si>
  <si>
    <t>CONSTRUCCION DE POZOS DE NSPECCION (OTROS)</t>
  </si>
  <si>
    <t>ESPECIFICACIÓN: 20,2</t>
  </si>
  <si>
    <t>ITEM: SEÑALIZACION EN GUADUA C/3 Mts Y POLISOMBRA DE h=2 Mts</t>
  </si>
  <si>
    <t>ESPECIFICACIÓN: 20,4</t>
  </si>
  <si>
    <t>ITEM: SUMINISTRO E INSTALACION LECHO EN ARENA PARA TUBERIA</t>
  </si>
  <si>
    <t>UNIDAD  : DIA</t>
  </si>
  <si>
    <t>ESPECIFICACIÓN: 20,5</t>
  </si>
  <si>
    <t>ESPECIFICACIÓN: 20,6</t>
  </si>
  <si>
    <t>KIT SILLA YEE 8x6" PVC</t>
  </si>
  <si>
    <t>ESPECIFICACIÓN: 20,7</t>
  </si>
  <si>
    <t>ESPECIFICACIÓN: 20,8</t>
  </si>
  <si>
    <t>ESPECIFICACIÓN: 20,9</t>
  </si>
  <si>
    <t>KIT SILLA YEE 10x6" PVC</t>
  </si>
  <si>
    <t>KIT SILLA YEE 12x6" PVC</t>
  </si>
  <si>
    <t>ESPECIFICACIÓN: 20,10</t>
  </si>
  <si>
    <t>ITEM: SUMINISTRO E INSTALACION DE SILLA YEE 16x6" PVC INCLUYE AGARRADERAS CAUCHO Y ADERENCIA</t>
  </si>
  <si>
    <t>ESPECIFICACIÓN: 20,11</t>
  </si>
  <si>
    <t>ITEM: SUMINISTRO E INSTALACION DE SILLA YEE 18x6" PVC INCLUYE AGARRADERAS CAUCHO Y ADERENCIA</t>
  </si>
  <si>
    <t>ESPECIFICACIÓN: 20,12</t>
  </si>
  <si>
    <t>ITEM: SUMINISTRO E INSTALACION DE SILLA YEE 20x6" PVC INCLUYE AGARRADERAS CAUCHO Y ADERENCIA</t>
  </si>
  <si>
    <t>ESPECIFICACIÓN: 20,13</t>
  </si>
  <si>
    <t>ITEM: SUMINISTRO E INSTALACION DE SILLA YEE 24x6" PVC INCLUYE AGARRADERAS CAUCHO Y ADERENCIA</t>
  </si>
  <si>
    <t xml:space="preserve">YEES EN CONCRETO 8x6" </t>
  </si>
  <si>
    <t>ESPECIFICACIÓN: 20,14</t>
  </si>
  <si>
    <t>ITEM: SUMINISTRO E INSTALACION DE SILLA YEES EN CONCRETO DE 8X6"</t>
  </si>
  <si>
    <t>ITEM: SUMINISTRO E INSTALACION DE SILLA YEES EN CONCRETO DE 10X6"</t>
  </si>
  <si>
    <t xml:space="preserve">YEES EN CONCRETO 10x6" </t>
  </si>
  <si>
    <t>ESPECIFICACIÓN: 20,15</t>
  </si>
  <si>
    <t>ESPECIFICACIÓN: 20,16</t>
  </si>
  <si>
    <t>ITEM: SUMINISTRO E INSTALACION DE SILLA YEES EN CONCRETO DE 12X6"</t>
  </si>
  <si>
    <t xml:space="preserve">YEES EN CONCRETO 12x6" </t>
  </si>
  <si>
    <t>ESPECIFICACIÓN: 20,17</t>
  </si>
  <si>
    <t>ITEM: SUMINISTRO E INSTALACION DE SILLA YEES EN CONCRETO DE 14X6"</t>
  </si>
  <si>
    <t xml:space="preserve">YEES EN CONCRETO 14x6" </t>
  </si>
  <si>
    <t>ESPECIFICACIÓN: 20,18</t>
  </si>
  <si>
    <t>ITEM: SUMINISTRO E INSTALACION DE SILLA YEES EN CONCRETO DE 16X6"</t>
  </si>
  <si>
    <t xml:space="preserve">YEES EN CONCRETO 16x6" </t>
  </si>
  <si>
    <t>ESPECIFICACIÓN: 20,19</t>
  </si>
  <si>
    <t>ITEM: SUMINISTRO E INSTALACION DE SILLA YEES EN CONCRETO DE 18X6"</t>
  </si>
  <si>
    <t xml:space="preserve">YEES EN CONCRETO 18x6" </t>
  </si>
  <si>
    <t>ESPECIFICACIÓN: 20,20</t>
  </si>
  <si>
    <t>ITEM: SUMINISTRO E INSTALACION DE SILLA YEES EN CONCRETO DE 20X6"</t>
  </si>
  <si>
    <t xml:space="preserve">YEES EN CONCRETO 20x6" </t>
  </si>
  <si>
    <t>ESPECIFICACIÓN: 20,21</t>
  </si>
  <si>
    <t>ITEM: SUMINISTRO E INSTALACION DE SILLA YEES EN CONCRETO DE 24X6"</t>
  </si>
  <si>
    <t xml:space="preserve">YEES EN CONCRETO 24x6" </t>
  </si>
  <si>
    <t>ESPECIFICACIÓN: 20,22</t>
  </si>
  <si>
    <t>ITEM: SUMINISTRO E INSTALACION CODOS EN CONCRETO DE 8"</t>
  </si>
  <si>
    <t>CODO EN CONCRETO DE 8"</t>
  </si>
  <si>
    <t>CODO EN CONCRETO DE 10"</t>
  </si>
  <si>
    <t>CODO EN CONCRETO DE 12"</t>
  </si>
  <si>
    <t>CODO EN CONCRETO DE 14"</t>
  </si>
  <si>
    <t>ESPECIFICACIÓN: 20,23</t>
  </si>
  <si>
    <t>ITEM: SUMINISTRO E INSTALACION CODOS EN CONCRETO DE 10"</t>
  </si>
  <si>
    <t>ESPECIFICACIÓN: 20,24</t>
  </si>
  <si>
    <t>ITEM: SUMINISTRO E INSTALACION CODOS EN CONCRETO DE 12"</t>
  </si>
  <si>
    <t>ESPECIFICACIÓN: 20,25</t>
  </si>
  <si>
    <t>ITEM: SUMINISTRO E INSTALACION CODOS EN CONCRETO DE 14"</t>
  </si>
  <si>
    <t>ESPECIFICACIÓN: 20,26</t>
  </si>
  <si>
    <t>ESPECIFICACIÓN: 20,27</t>
  </si>
  <si>
    <t>ESPECIFICACIÓN: 20,28</t>
  </si>
  <si>
    <t>ESPECIFICACIÓN: 20,29</t>
  </si>
  <si>
    <t>ESPECIFICACIÓN: 20,30</t>
  </si>
  <si>
    <t>ITEM: TRINCHOS EN GUADUA</t>
  </si>
  <si>
    <t>ITEM: TRINCHOS EN ESTERILLAS</t>
  </si>
  <si>
    <t>ITEM: GAVIONES, TRIPLE TORSION, CAL 12, SUMINISTRO E INSTALACION</t>
  </si>
  <si>
    <t>ITEM: LIMPIEZA DE COLECTORES</t>
  </si>
  <si>
    <t xml:space="preserve">ITEM: EMPRADIZACION CON CESPEDON </t>
  </si>
  <si>
    <t>ITEM: UTILIZACION DE MOTOBOMBA</t>
  </si>
  <si>
    <t>ESPECIFICACIÓN: 20,37</t>
  </si>
  <si>
    <t>ITEM: MANEJO DE AGUAS CON DIAMETROS DE 8" A 12"</t>
  </si>
  <si>
    <t>UNIDAD  : PUL/ML</t>
  </si>
  <si>
    <t>UNIDAD  : GLB</t>
  </si>
  <si>
    <t>ITEM: MANEJO DE AGUAS CON DIAMETROS DE 12" A 24"</t>
  </si>
  <si>
    <t>ITEM: MANEJO DE AGUAS CON DIAMETROS DE 24" A 30"</t>
  </si>
  <si>
    <t>ESPECIFICACIÓN: 20,40</t>
  </si>
  <si>
    <t>ITEM: MANEJO DE AGUAS MAS DE 30"</t>
  </si>
  <si>
    <t>TACO DE GUADUA</t>
  </si>
  <si>
    <t>UTILIZACION DE MOTOBOMBA</t>
  </si>
  <si>
    <t>BOLSACRETO</t>
  </si>
  <si>
    <t>INSTALACION DE ACCESORIOS</t>
  </si>
  <si>
    <t>SUMINISTRO E INSTALACION DE ACCESORIOS</t>
  </si>
  <si>
    <t>Hasta  2.00 Mts</t>
  </si>
  <si>
    <t>De Diametro 2"</t>
  </si>
  <si>
    <t>De Diametro 3"</t>
  </si>
  <si>
    <t>De Diametro 4"</t>
  </si>
  <si>
    <t xml:space="preserve">De Diametro 8" </t>
  </si>
  <si>
    <t xml:space="preserve">INSTALACION DE ACCESORIOS </t>
  </si>
  <si>
    <t>AYUDANTE (1)</t>
  </si>
  <si>
    <t>LIMPIADOR</t>
  </si>
  <si>
    <t>ITEM: SUMINISTRO E INSTALACION DE UNION PF 1/2"</t>
  </si>
  <si>
    <t>ITEM: SUMINISTRO E INSTALACION DE UNION PF 3/4"</t>
  </si>
  <si>
    <t>ITEM: SUMINISTRO E INSTALACION DE COLLAR DE DERIVACION EN HIERRO DUCTIL DE 3"X1/2"</t>
  </si>
  <si>
    <t>ITEM: SUMINISTRO E INSTALACION DE COLLAR DE DERIVACION EN HIERRO DUCTIL DE 3"X3/4"</t>
  </si>
  <si>
    <t>ITEM: SUMINISTRO E INSTALACION DE COLLAR DE DERIVACION EN HIERRO DUCTIL DE 3"x1"</t>
  </si>
  <si>
    <t>SUMINISTRO E INSTALACIÓN DE ACCESORIOS</t>
  </si>
  <si>
    <t xml:space="preserve">ITEM: SUMINISTRO E INSTALACIÓN COLLAR DE DERIVACIÓN EN HIERRO DÚCTIL 6 X 1" </t>
  </si>
  <si>
    <t>ITEM: SUMINISTRO E INSTALACIÓN VÁLVULA VENTOSA DE 1" ROSCADA TRIPLE ACCIÓN</t>
  </si>
  <si>
    <t>ITEM: SUMINISTRO E INSTALACIÓN VÁLVULA VENTOSA DE 2" ROSCADA TRIPLE ACCIÓN</t>
  </si>
  <si>
    <t>INSTALACIÓN DE TUBERÍA PVC UNIÓN MECÁNICA- HASTA 2 MT</t>
  </si>
  <si>
    <t>ITEM: DE DIÁMETRO 2"</t>
  </si>
  <si>
    <t>ITEM: DE DIÁMETRO 3"</t>
  </si>
  <si>
    <t>ITEM: DE DIÁMETRO 4"</t>
  </si>
  <si>
    <t>ITEM: DE DIÁMETRO 6"</t>
  </si>
  <si>
    <t>ITEM: DE DIÁMETRO 8"</t>
  </si>
  <si>
    <t>ITEM: DE DIÁMETRO 10"</t>
  </si>
  <si>
    <t>ITEM: DE DIÁMETRO 12"</t>
  </si>
  <si>
    <t>ITEM: DE DIÁMETRO 14"</t>
  </si>
  <si>
    <t>ITEM: DE DIÁMETRO 16"</t>
  </si>
  <si>
    <t>ITEM: DE DIÁMETRO 18"</t>
  </si>
  <si>
    <t>ITEM: DE DIÁMETRO 20"</t>
  </si>
  <si>
    <t>AGUA</t>
  </si>
  <si>
    <t>CEMENTO GRIS</t>
  </si>
  <si>
    <t>DESPERDICIO (5%)</t>
  </si>
  <si>
    <t>MEZCLADORA DE CONCRETO (1 BULTO)</t>
  </si>
  <si>
    <t>HERRAMIENTA MENOR (10%MO)</t>
  </si>
  <si>
    <t>M³</t>
  </si>
  <si>
    <t>LTS</t>
  </si>
  <si>
    <t>VIBRADOR DE CONCRETO</t>
  </si>
  <si>
    <t>Suministro e Instalacion Valvula Ventosa de 1" Roscada Triple Accion</t>
  </si>
  <si>
    <t xml:space="preserve">Suministro e Instalacion Valvula Ventosa de 2" Roscada Triple Accion </t>
  </si>
  <si>
    <t xml:space="preserve">Suministro e Instalacion Valvula Ventosa de 3" Bridada Triple Accion </t>
  </si>
  <si>
    <t>Suministro e Instalacion Valvula Ventosa de 4" Bridada Triple Accion</t>
  </si>
  <si>
    <t>Suministro e Instalacion Valvula Ventosa de 6" Bridada Triple Accion</t>
  </si>
  <si>
    <t>Suministro e Instalacion Valvula Ventosa de 8" Bridada Triple Accion</t>
  </si>
  <si>
    <t>Señalizacion en Guadua C/3 mts y Polisombra de h=2mts</t>
  </si>
  <si>
    <t>Suministro e Instalacion Yee en Concreto de 8"X 6"</t>
  </si>
  <si>
    <t xml:space="preserve">Suministro e Instalacion Yee en Concreto de 10"X 6" </t>
  </si>
  <si>
    <t xml:space="preserve">Suministro e Instalacion Yee en Concreto de 12"X 6" </t>
  </si>
  <si>
    <t>Suministro e Instalacion Yee en Concreto de 14"X 6"</t>
  </si>
  <si>
    <t xml:space="preserve">Suministro e Instalacion Yee en Concreto de 16"X 6" </t>
  </si>
  <si>
    <t xml:space="preserve">Suministro e Instalacion Yee en concreto de 18"X 6" </t>
  </si>
  <si>
    <t xml:space="preserve">Suministro e Instalacion Yee en Concreto de 20"X 6" </t>
  </si>
  <si>
    <t xml:space="preserve">Suministro e Instalacion Yee en Concreto de 24"X 6" </t>
  </si>
  <si>
    <t>Suministro e Instalacion Codos en Concreto de 8 "</t>
  </si>
  <si>
    <t>Suministro e Instalacion Codos en Concreto de 10 "</t>
  </si>
  <si>
    <t>Suministro e Instalacion Codos en Concretro de 12 "</t>
  </si>
  <si>
    <t>Suministro e Instalacion Codos en Concreto de 14 "</t>
  </si>
  <si>
    <t>Alambre Negro N°. 18</t>
  </si>
  <si>
    <t>Registro De Corte 1/2"</t>
  </si>
  <si>
    <t xml:space="preserve">Registro Incorporación 1/2" Bronce </t>
  </si>
  <si>
    <t xml:space="preserve">Registro Incorporación 1/2" Pvc </t>
  </si>
  <si>
    <t xml:space="preserve">Registro Incorporación 3/4" Bronce </t>
  </si>
  <si>
    <t>UNION P.F DE 1/2"</t>
  </si>
  <si>
    <t>MANGUERA P.F 1/2"</t>
  </si>
  <si>
    <t>Pago Deposito En Escombrera Autorizada Por La Autoridad Ambiental</t>
  </si>
  <si>
    <t>Taco Guadua</t>
  </si>
  <si>
    <t>YEE EN CONCRETO</t>
  </si>
  <si>
    <t>Codo en Concreto de 8"</t>
  </si>
  <si>
    <t>Codo en Concreto de 10"</t>
  </si>
  <si>
    <t>Codo en Concreto de 12"</t>
  </si>
  <si>
    <t>Codo en Concreto de 14"</t>
  </si>
  <si>
    <t>TUBERIA DE CONCRETO SIN REFUERZO NORMA ICONTEC 1022 CLASE 2</t>
  </si>
  <si>
    <t>TUBERIA DE CONCRETO REFORZADO NORMA ICONTEC 401 CLASE 2</t>
  </si>
  <si>
    <t xml:space="preserve">Tubo Concreto 36" </t>
  </si>
  <si>
    <t xml:space="preserve">Tubo Concreto 40" </t>
  </si>
  <si>
    <t xml:space="preserve">Tubo Concreto 44" </t>
  </si>
  <si>
    <t xml:space="preserve">Tubo Concreto 48" </t>
  </si>
  <si>
    <t>Tubo Plastico 24"</t>
  </si>
  <si>
    <t>Tubo Plastico 27"</t>
  </si>
  <si>
    <t>Tubo Plastico 30"</t>
  </si>
  <si>
    <t>Tubo Plastico 33"</t>
  </si>
  <si>
    <t>Tubo Plastico 36"</t>
  </si>
  <si>
    <t>Tubo Plastico 39"</t>
  </si>
  <si>
    <t>Tubo Plastico 42"</t>
  </si>
  <si>
    <t>INSTALACION TUBERIA DE CONCRETO NTC 1022 CLASE 2</t>
  </si>
  <si>
    <t>INSTALACION TUBERIA DE CONCRETO NTC 401 CLASE 2</t>
  </si>
  <si>
    <t>SUMINISTRO E INSTALACION TUBERIA CONCRETO NTC 401 CLASE 2</t>
  </si>
  <si>
    <t>MORTEROS</t>
  </si>
  <si>
    <t>MORTERO 1:3</t>
  </si>
  <si>
    <t>HERRAMIENTA MENOR (10%)</t>
  </si>
  <si>
    <t>MORTERO 1:2</t>
  </si>
  <si>
    <t xml:space="preserve">Tubo Concreto 6" </t>
  </si>
  <si>
    <t xml:space="preserve">Tubo Concreto 8" </t>
  </si>
  <si>
    <t xml:space="preserve">Tubo Concreto 10" </t>
  </si>
  <si>
    <t xml:space="preserve">Tubo Concreto 12" </t>
  </si>
  <si>
    <t xml:space="preserve">Tubo Concreto 14" </t>
  </si>
  <si>
    <t xml:space="preserve">Tubo Concreto 16" </t>
  </si>
  <si>
    <t xml:space="preserve">Tubo Concreto 18" </t>
  </si>
  <si>
    <t xml:space="preserve">Tubo Concreto 20" </t>
  </si>
  <si>
    <t xml:space="preserve">Tubo Concreto 24" </t>
  </si>
  <si>
    <t xml:space="preserve">Tubo Concreto 27" </t>
  </si>
  <si>
    <t xml:space="preserve">Tubo Concreto 30" </t>
  </si>
  <si>
    <t>CODOS EN CONCRETO</t>
  </si>
  <si>
    <t>Esterilla</t>
  </si>
  <si>
    <t>Grama</t>
  </si>
  <si>
    <t>Impermeablizante Concreto</t>
  </si>
  <si>
    <t>Tuberia de 2"</t>
  </si>
  <si>
    <t>Tuberia de 3"</t>
  </si>
  <si>
    <t>Tuberia de 4"</t>
  </si>
  <si>
    <t>Tuberia de 6"</t>
  </si>
  <si>
    <t>Tuberia de 8"</t>
  </si>
  <si>
    <t>Tuberia de 10"</t>
  </si>
  <si>
    <t>Tuberia de 12"</t>
  </si>
  <si>
    <t>Tuberia de 14"</t>
  </si>
  <si>
    <t>Tuberia de 16"</t>
  </si>
  <si>
    <t>Tuberia de 18"</t>
  </si>
  <si>
    <t>Tuberia de 20"</t>
  </si>
  <si>
    <t>TITAN</t>
  </si>
  <si>
    <t>JAMAR</t>
  </si>
  <si>
    <t xml:space="preserve">Tubo Concreto 32" </t>
  </si>
  <si>
    <t>Cemento Gris</t>
  </si>
  <si>
    <t xml:space="preserve">RECEBO </t>
  </si>
  <si>
    <t>OFICIALAES (1)</t>
  </si>
  <si>
    <t>GERFOR S.A</t>
  </si>
  <si>
    <t>FORMALETA</t>
  </si>
  <si>
    <t>PAVCO</t>
  </si>
  <si>
    <t>CADENERO (1)</t>
  </si>
  <si>
    <t>Ventosa 2" Roscada Triple Accion</t>
  </si>
  <si>
    <t>Ventosa 1" Roscada Triple Accion</t>
  </si>
  <si>
    <t>Ventosa 3" Bridada Triple Accion</t>
  </si>
  <si>
    <t>Ventosa 4" Bridada Triple Accion</t>
  </si>
  <si>
    <t>Ventosa 6" Bridada Triple Accion</t>
  </si>
  <si>
    <t>Ventosa 8" Bridada Triple Accion</t>
  </si>
  <si>
    <t>ACUEDUCTO</t>
  </si>
  <si>
    <t>Codo en Concreto de 6"</t>
  </si>
  <si>
    <t>Arotapa Completa Vibrocompactada</t>
  </si>
  <si>
    <t>Rejilla Sola Vibrocompactada para Sumidero de 1,05X0,36 MTS</t>
  </si>
  <si>
    <t>Tubo Plastico 6" 160mm</t>
  </si>
  <si>
    <t>Tubo Plastico 8" 200mm</t>
  </si>
  <si>
    <t>Tubo Plastico 10" 250mm</t>
  </si>
  <si>
    <t>Tubo Plastico 12" 315mm</t>
  </si>
  <si>
    <t>Tubo Plastico 20" 500mm</t>
  </si>
  <si>
    <t>Tubo Plastico 14" 355mm</t>
  </si>
  <si>
    <t>Tubo Plastico 16" 400mm</t>
  </si>
  <si>
    <t>Tubo Plastico 18" 450mm</t>
  </si>
  <si>
    <t>TUBERIA PLASTICA PARA ALCANTARILLADO</t>
  </si>
  <si>
    <t>Madera (medio Cerco Estacas)</t>
  </si>
  <si>
    <t>HERRAMIENTA MENOR(10%MO)</t>
  </si>
  <si>
    <t>Triturado entre 1/2 y 3/4 pulg</t>
  </si>
  <si>
    <t>Limpiador PVC 12 Onzas</t>
  </si>
  <si>
    <t>ESPECIFICACIÓN: 5,14</t>
  </si>
  <si>
    <t>ITEM: MORTERO 1:3</t>
  </si>
  <si>
    <t>HERRAMIENTA MENOR (10% MO)</t>
  </si>
  <si>
    <t>ITEM: MORTERO 1:4</t>
  </si>
  <si>
    <t>ESPECIFICACIÓN: 5,16</t>
  </si>
  <si>
    <t>SENA</t>
  </si>
  <si>
    <t>ALAMBRE NEGRO PARA AMARRE</t>
  </si>
  <si>
    <t>ACERO DE REFUERZO A-60</t>
  </si>
  <si>
    <t>Acero de refuerzo figurado e instalado A: 60</t>
  </si>
  <si>
    <t>Acero de refuerzo figurado e instalado A: 37</t>
  </si>
  <si>
    <t>ITEM: ACERO DE REFUERZO FIGURADO E INSTALADO A:60</t>
  </si>
  <si>
    <t>ITEM: ACERO DE REFUERZO FIGURADO E INSTALADO A:37</t>
  </si>
  <si>
    <t>ACERO DE REFUERZO A-37</t>
  </si>
  <si>
    <t>Alambre Galvanizado N°. 12</t>
  </si>
  <si>
    <t>ALAMBRE GALVANIZADO N°. 12</t>
  </si>
  <si>
    <t>Piedra Para Gaviones</t>
  </si>
  <si>
    <t>(OTROS)</t>
  </si>
  <si>
    <t>ALAMBRE GALVANIZADO CAL N°. 12</t>
  </si>
  <si>
    <t xml:space="preserve">AYUDANTES </t>
  </si>
  <si>
    <t>ALAMBRE GALVANIZADO CALIBRE N°. 12</t>
  </si>
  <si>
    <t>TUBERÍA PVC SANITARIA DE 6"</t>
  </si>
  <si>
    <t>TUBERÍA PVC SANITARIA DE 8"</t>
  </si>
  <si>
    <t>TUBERÍA PVC SANITARIA DE 10"</t>
  </si>
  <si>
    <t>TUBERÍA PVC SANITARIA DE 12"</t>
  </si>
  <si>
    <t>TUBERÍA PVC SANITARIA DE 16"</t>
  </si>
  <si>
    <t>TUBERÍA PVC SANITARIA DE 18"</t>
  </si>
  <si>
    <t>TUBERÍA PVC SANITARIA DE 20"</t>
  </si>
  <si>
    <t>HERRAMIENTA MENOR (10%mo)</t>
  </si>
  <si>
    <t>TUBERÍA PVC SANITARIA DE 24"</t>
  </si>
  <si>
    <t>TUBERÍA PVC SANITARIA DE 27"</t>
  </si>
  <si>
    <t>TUBERÍA PVC SANITARIA DE 30"</t>
  </si>
  <si>
    <t>TUBERÍA PVC SANITARIA DE 33"</t>
  </si>
  <si>
    <t>TUBERÍA PVC SANITARIA DE 36"</t>
  </si>
  <si>
    <t>TUBERÍA PVC SANITARIA DE 39"</t>
  </si>
  <si>
    <t>TUBERÍA PVC SANITARIA DE 42"</t>
  </si>
  <si>
    <t>Tela de cerramiento a = 2,10 m (rollo por 100 m)</t>
  </si>
  <si>
    <t>L</t>
  </si>
  <si>
    <t>Piedra Media Zonga</t>
  </si>
  <si>
    <t xml:space="preserve">CEMENTO GRIS </t>
  </si>
  <si>
    <t>ITEM: SUMINISTRO E INSTALACION DE REGISTRO DE INCORPORACION 1/2" (BRONCE)</t>
  </si>
  <si>
    <t>ITEM: SUMINISTRO E INSTALACION DE REGISTRO DE INCORPORACION 3/4" BRONCE</t>
  </si>
  <si>
    <t>REGISTRO INCORPORADOR DE 3/4" BRONCE</t>
  </si>
  <si>
    <t>SOLDADURA</t>
  </si>
  <si>
    <t>CINTA DE TEFLON</t>
  </si>
  <si>
    <t>REGISTRO DE INCORPORACION 1/2" BRONCE</t>
  </si>
  <si>
    <t xml:space="preserve">Suministro e Instalación de unión P.F 1/2" </t>
  </si>
  <si>
    <t>Suministro e Instalación de unión P.F  3/4"</t>
  </si>
  <si>
    <t>UNION P.F DE 3/4"</t>
  </si>
  <si>
    <t>ADAPTADOR PVC MACHO DE 1/2" PRESION</t>
  </si>
  <si>
    <t>Adaptador Macho PVC Presion 1/2"</t>
  </si>
  <si>
    <t>ADAPTADOR PVC MACHO DE 3/4" PRESION</t>
  </si>
  <si>
    <t>Adaptador Macho PVC Presion 3/4"</t>
  </si>
  <si>
    <t>ADAPTADOR PVC MACHO DE 1" PRESION</t>
  </si>
  <si>
    <t>Adaptador Macho PVC Presion 1"</t>
  </si>
  <si>
    <t>ADAPTADOR PVC MACHO DE 2" PRESION</t>
  </si>
  <si>
    <t>Adaptador Macho PVC Presion 2"</t>
  </si>
  <si>
    <t>MANGUERA P.F 3/4"</t>
  </si>
  <si>
    <t>SUMINISTRO E INSTALACION DE TUBERIA PVC PRESION RDE 21 (DE 0 A 2 MTS)</t>
  </si>
  <si>
    <t>TUBERIA PVC PRESION DE 2" RDE 21</t>
  </si>
  <si>
    <t>ACCESORIOS PVC PRESIÓN (% Tubería)</t>
  </si>
  <si>
    <t>25%Tub</t>
  </si>
  <si>
    <t>TUBERIA PVC PRESION DE 3" RDE21</t>
  </si>
  <si>
    <t>TUBERIA PVC PRESION DE 4" RDE 21</t>
  </si>
  <si>
    <t>5%Tub</t>
  </si>
  <si>
    <t>TUBERIA PVC PRESION DE 6" RDE 21</t>
  </si>
  <si>
    <t>TUBERIA PVC PRESION DE 8" RDE 21</t>
  </si>
  <si>
    <t>TUBERIA PVC PRESION DE 10" RDE 21</t>
  </si>
  <si>
    <t>TUBERIA PVC PRESION DE 12" RDE 21</t>
  </si>
  <si>
    <t>TUBERIA PVC PRESION DE 14" RDE 21</t>
  </si>
  <si>
    <t>TUBERIA PVC PRESION DE 16" RDE 21</t>
  </si>
  <si>
    <t>TUBERIA PVC PRESION DE 18" RDE 21</t>
  </si>
  <si>
    <t>TUBERIA PVC PRESION DE 20" RDE 21</t>
  </si>
  <si>
    <t>INSTALACIÓN DE TUBERÍA PVC PRESION- HASTA 2 MT</t>
  </si>
  <si>
    <t>INSTALACION DE TUBERÍA PVC PRESION</t>
  </si>
  <si>
    <t>SUMINISTRO E INSTALACION TUBERIA CONCRETO NTC 1022 CLASE 2 (UNION DE CAUCHO)</t>
  </si>
  <si>
    <r>
      <t xml:space="preserve">ITEM: INSTALACION Y SUMINISTRO DE CONCRETO DE 17,2 Mpa </t>
    </r>
    <r>
      <rPr>
        <b/>
        <u/>
        <sz val="8"/>
        <rFont val="Arial"/>
        <family val="2"/>
      </rPr>
      <t>(2.500 PSI)</t>
    </r>
  </si>
  <si>
    <r>
      <t xml:space="preserve">ITEM: INSTALACION Y SUMINISTRO DE CONCRETO DE 20,7 Mpa </t>
    </r>
    <r>
      <rPr>
        <b/>
        <u/>
        <sz val="8"/>
        <rFont val="Arial"/>
        <family val="2"/>
      </rPr>
      <t>(3,000 PSI)</t>
    </r>
  </si>
  <si>
    <t>LIMPIADOR PVC 12 ONZAS</t>
  </si>
  <si>
    <t>ALAMBRE GALVANIZADO CAL 12</t>
  </si>
  <si>
    <t xml:space="preserve">ITEM: CONCRETO CICLOPEO ELEVACION (2.500 PSI - 17,2 Mpa) </t>
  </si>
  <si>
    <t xml:space="preserve">ITEM: CONCRETO CICLOPEO CIMENTACION (2.500 PSI - 17,2 Mpa) </t>
  </si>
  <si>
    <t>PIEDRA PARA CONCRETO CICLOPEO</t>
  </si>
  <si>
    <t xml:space="preserve">Concreto de 17,2 Mpa (2.500 PSI) </t>
  </si>
  <si>
    <t xml:space="preserve">Concreto de 20,7 Mpa (3.000 PSI) </t>
  </si>
  <si>
    <t xml:space="preserve">Concreto de 24,5 Mpa (3.500 PSI) </t>
  </si>
  <si>
    <t xml:space="preserve">Concreto de 27,6 Mpa (4.000 PSI) </t>
  </si>
  <si>
    <t xml:space="preserve">PIEDRA  </t>
  </si>
  <si>
    <t>Concreto de 20,7 Mpa (3.000 PSI) elevacion</t>
  </si>
  <si>
    <t>Concreto ciclópeo (2.500 PSI - 17,2 Mpa) Elevacion</t>
  </si>
  <si>
    <r>
      <t xml:space="preserve">ITEM: CONCRETO ELEVACION </t>
    </r>
    <r>
      <rPr>
        <b/>
        <u/>
        <sz val="8"/>
        <rFont val="Arial"/>
        <family val="2"/>
      </rPr>
      <t>(3.000 PSI - 20,7 Mpa)</t>
    </r>
  </si>
  <si>
    <t xml:space="preserve">ITEM: CONCRETO (3.000 PSI - 20,7 Mpa) SUPERESTRUCTURA </t>
  </si>
  <si>
    <t>ITEM: CONCRETO (3.000 PSI - 20,7 Mpa) IMPERMEABILIZADO</t>
  </si>
  <si>
    <t xml:space="preserve">Concreto 3.000 PSI  - Superestructura </t>
  </si>
  <si>
    <t>Concreto 3.000 PSI  - Impermeabilizado</t>
  </si>
  <si>
    <r>
      <t xml:space="preserve">ITEM: </t>
    </r>
    <r>
      <rPr>
        <b/>
        <u/>
        <sz val="8"/>
        <rFont val="Arial"/>
        <family val="2"/>
      </rPr>
      <t>CONCRETO 3.500 PSI (24,5 Mpa PRODUCCION)</t>
    </r>
  </si>
  <si>
    <t xml:space="preserve">ITEM: CONCRETO 3.500 PSI (24,5 Mpa PRODUCCION) ESTRUCTURAS </t>
  </si>
  <si>
    <t>Concreto de 27,6 Mpa (4.000 PSI) Estructura</t>
  </si>
  <si>
    <r>
      <t xml:space="preserve">ITEM: </t>
    </r>
    <r>
      <rPr>
        <b/>
        <u/>
        <sz val="8"/>
        <rFont val="Arial"/>
        <family val="2"/>
      </rPr>
      <t>CONCRETO 4.000 PSI (27,6 Mpa PRODUCCION)</t>
    </r>
  </si>
  <si>
    <t>MOTOBOMBA SUMERGIBLE 3" CON MANGUERA</t>
  </si>
  <si>
    <t>Motobomba Sumergible 3" con Manguera</t>
  </si>
  <si>
    <t>Tarifa de Transporte</t>
  </si>
  <si>
    <t>Extendida y compactación  (sub base - base granular Medio Mecánico)</t>
  </si>
  <si>
    <t>ITEM: EXTENDIDA Y COMPACTACION (SUB BASE - BASE GRANULAR MEDIO MECANICO)</t>
  </si>
  <si>
    <t>HERRAMIENTA MENOR (1O%MO)</t>
  </si>
  <si>
    <t>M</t>
  </si>
  <si>
    <t>Pintura Esmalte</t>
  </si>
  <si>
    <t>TABLA PARA FORMALETA DE 1"X10"X2,9M</t>
  </si>
  <si>
    <t>Liston sajo de 5x3 cm x 2,5 m (varilla)</t>
  </si>
  <si>
    <t>LISTON SAJO DE 5X3 CM X 2,5 M (varilla)</t>
  </si>
  <si>
    <t>PUNTILLA (PROMEDIO)</t>
  </si>
  <si>
    <t>TABLA PARA FORMALETA DE 1" X 10" X 2,9 M</t>
  </si>
  <si>
    <t>CUARTÓN DE SAJO 2" X 4" X 2,9 M</t>
  </si>
  <si>
    <t>Cuartón de sajo 2" x 4" x 2,9 m</t>
  </si>
  <si>
    <t>ITEM: CAJA DE INSPECCION 60x60x100 Cmts EN LADRILLO, CONCRETO DE 2500 PSI Y TAPA REFORZADA EN CONCRETO DE 3000 PSI</t>
  </si>
  <si>
    <t>ANGULO DE 2" X 1/8"</t>
  </si>
  <si>
    <t>Caja de inspección 60 x 60 x 100 Cmts en Ladrillo, concreto de 2500 PSI y tapa reforzada en concreto de 3000 PSI</t>
  </si>
  <si>
    <t>Caja de inspección 80 x 60 x 100 Cmts, concreto de 2500 PSI y tapa reforzada en concreto de 3000 PSI</t>
  </si>
  <si>
    <t>ITEM: CAJA DE INSPECCION 80x60x100 Cmts, CONCRETO DE 2500 PSI Y TAPA REFORZADA EN CONCRETO DE 3000 PSI</t>
  </si>
  <si>
    <t>VARILLON DE SAJO</t>
  </si>
  <si>
    <t>TABLA PARA FORMALETA DE 1"x10"x2,9m</t>
  </si>
  <si>
    <t>LISTON SAJO DE 5x3 cm x 2,5 m</t>
  </si>
  <si>
    <t>PUNTILLA PROMEDIO</t>
  </si>
  <si>
    <t>Rotura pavimento flexible (incluye cargue a mano y retiro de sobrantes)</t>
  </si>
  <si>
    <t>Rotura pavimento rígido (incluye cargue a mano y retiro de sobrantes)</t>
  </si>
  <si>
    <t>ITEM: ROTURA PAVIMENTO FLEXIBLE (INCLUYE CARGUE A MANO Y RETIRO DE SOBRANTES)</t>
  </si>
  <si>
    <t>ITEM: ROTURA PAVIMENTO RIGIDO (INCLUYE CARGUE A MANO Y RETIRO DE SOBRANTES)</t>
  </si>
  <si>
    <t>BASE GRANULAR</t>
  </si>
  <si>
    <t>RECEBO</t>
  </si>
  <si>
    <t>RANA</t>
  </si>
  <si>
    <t>Cargue y Retiro de Sobrantes Hasta 8 KMTS A Mano</t>
  </si>
  <si>
    <t>ITEM: CARGUE Y RETIRO DE SOBRANTES HASTA 8 KMTS A MANO</t>
  </si>
  <si>
    <t>Recebo</t>
  </si>
  <si>
    <t>Piedra Rajon</t>
  </si>
  <si>
    <t>Cargue de Sobrantes a Maquina</t>
  </si>
  <si>
    <t>ITEM: CARGUE DE SOBRANTES A MAQUINA</t>
  </si>
  <si>
    <t>Disposicion Final de Sobrantes en Escombrera Autorizada</t>
  </si>
  <si>
    <t>ITEM: DISPOSICION FINAL DE SOBRANTES EN ESCOMBRERA AUTORIZADA</t>
  </si>
  <si>
    <t>ITEM: INSTALACION Y SUMINISTRO DE CONCRETO DE 13,8 Mpa (2.000 PSI) PARA SOLADO</t>
  </si>
  <si>
    <t xml:space="preserve">ITEM: DE 0 A 2 MTS DE DIAMETRO 14" </t>
  </si>
  <si>
    <t xml:space="preserve">SUB-BASE GRANULAR </t>
  </si>
  <si>
    <t>Suministro e Instalacion Lecho en Grava para Cama de Tuberia D= 1/2 a 3/4</t>
  </si>
  <si>
    <t>ITEM: SUMINISTRO E INSTALACION LECHO EN GRAVA  PARA CAMA DE TUBERIA D=1/2 A 3/4</t>
  </si>
  <si>
    <t>SUB BASE GRANULAR</t>
  </si>
  <si>
    <t>ATRAQUES</t>
  </si>
  <si>
    <t xml:space="preserve">De Diametro 14" </t>
  </si>
  <si>
    <t xml:space="preserve">De Diametro 8"  </t>
  </si>
  <si>
    <t xml:space="preserve">De Diametro 10" </t>
  </si>
  <si>
    <t xml:space="preserve">De Diametro 12" </t>
  </si>
  <si>
    <t xml:space="preserve">De Diametro 16" </t>
  </si>
  <si>
    <t xml:space="preserve">De Diametro 18" </t>
  </si>
  <si>
    <t xml:space="preserve">De Diametro 20" </t>
  </si>
  <si>
    <t xml:space="preserve">ITEM: DE 2 A 4 MTS DE DIAMETRO 14" </t>
  </si>
  <si>
    <t>TUBERÍA PVC SANITARIA DE 14"</t>
  </si>
  <si>
    <t xml:space="preserve">De Diametro 6"   </t>
  </si>
  <si>
    <t xml:space="preserve">ITEM: DE 0 A 2 MTS DE DIAMETRO 12" </t>
  </si>
  <si>
    <t xml:space="preserve">ITEM: DE 0 A 2 MTS DE DIAMETRO 8" </t>
  </si>
  <si>
    <t xml:space="preserve">ITEM: DE 0 A 2 MTS DE DIAMETRO 10" </t>
  </si>
  <si>
    <t xml:space="preserve">ITEM: DE 0 A 2 MTS DE DIAMETRO 16" </t>
  </si>
  <si>
    <t xml:space="preserve">ITEM: DE 0 A 2 MTS DE DIAMETRO 18" </t>
  </si>
  <si>
    <t xml:space="preserve">ITEM: DE 0 A 2 MTS DE DIAMETRO 20" </t>
  </si>
  <si>
    <t xml:space="preserve">ITEM: DE 2 A 4 MTS DE DIAMETRO 10" </t>
  </si>
  <si>
    <t xml:space="preserve">ITEM: DE 2 A 4 MTS DE DIAMETRO 8" </t>
  </si>
  <si>
    <t>SUB - BASE GRANULAR</t>
  </si>
  <si>
    <t>Parcheo de  pavimento asfáltico - (Incluye imprimación o riego de liga, suministro, extendida y compactación de la mezcla asfáltica)</t>
  </si>
  <si>
    <t xml:space="preserve">ITEM: DE 2 A 4 MTS DE DIAMETRO 12" </t>
  </si>
  <si>
    <t>14,1,4</t>
  </si>
  <si>
    <t xml:space="preserve">ITEM: DE 2 A 4 MTS DE DIAMETRO 16" </t>
  </si>
  <si>
    <t>14,1,5</t>
  </si>
  <si>
    <t>14,1,6</t>
  </si>
  <si>
    <t xml:space="preserve">ITEM: DE 2 A 4 MTS DE DIAMETRO 18" </t>
  </si>
  <si>
    <t>14,1,7</t>
  </si>
  <si>
    <t xml:space="preserve">ITEM: DE 2 A 4 MTS DE DIAMETRO 20" </t>
  </si>
  <si>
    <t>14,1,8</t>
  </si>
  <si>
    <t>14,1,9</t>
  </si>
  <si>
    <t>14,1,10</t>
  </si>
  <si>
    <t>14,1,11</t>
  </si>
  <si>
    <t>14,1,12</t>
  </si>
  <si>
    <t xml:space="preserve">ITEM: DE 0 A 2 MTS DE DIAMETRO 6" </t>
  </si>
  <si>
    <t>15,1,5</t>
  </si>
  <si>
    <t>15,1,6</t>
  </si>
  <si>
    <t>15,1,7</t>
  </si>
  <si>
    <t>15,1,8</t>
  </si>
  <si>
    <t>16,1,4</t>
  </si>
  <si>
    <t>16,1,5</t>
  </si>
  <si>
    <t>16,1,6</t>
  </si>
  <si>
    <t>16,1,7</t>
  </si>
  <si>
    <t>ESPECIFICACIÓN: 20,41</t>
  </si>
  <si>
    <t>CODALES DE MADERA d=0,15m</t>
  </si>
  <si>
    <t>Codales de madera d=0,15m</t>
  </si>
  <si>
    <t>Diferencial</t>
  </si>
  <si>
    <t>SUMINISTRO E INSTALACION DE TUBERIA DE CONCRETO CERTIFICADO NORMA 1022 CLASE 2 UNION CAUCHO</t>
  </si>
  <si>
    <t>SUMINISTRO E INSTALACION DE TUBERIA DE CONCRETO CERTIFICADO NORMA 1022 CLASE 2 UNION DE CAUCHO</t>
  </si>
  <si>
    <t>SUMINISTRO E INSTALACION DE TUBERIA DE CONCRETO CERTIFIADO NORMA 401 CLASE 2 UNION DE CAUCHO</t>
  </si>
  <si>
    <t>Volqueta (Tarifa de Transporte)</t>
  </si>
  <si>
    <t xml:space="preserve">Sub-Base </t>
  </si>
  <si>
    <t>MALLA PARA GAVIONES (2x1x1M) Cal 12</t>
  </si>
  <si>
    <t xml:space="preserve">RETROEXCAVADORA </t>
  </si>
  <si>
    <t>ACERO A:60</t>
  </si>
  <si>
    <t>TABLA BURRA ORDINARIA DE 25 cms</t>
  </si>
  <si>
    <r>
      <t>UNIDAD  : M</t>
    </r>
    <r>
      <rPr>
        <b/>
        <vertAlign val="superscript"/>
        <sz val="8"/>
        <rFont val="Arial"/>
        <family val="2"/>
      </rPr>
      <t>2</t>
    </r>
  </si>
  <si>
    <t>ITEM: ENTIBADO TIPO 1A (DISCONTINUO EN MADERA)</t>
  </si>
  <si>
    <t>ESPECIFICACIÓN: 20,42</t>
  </si>
  <si>
    <t>TABLERO DE 0.7* 1,4 EN TABLA CHAPA</t>
  </si>
  <si>
    <r>
      <t>M</t>
    </r>
    <r>
      <rPr>
        <vertAlign val="superscript"/>
        <sz val="8"/>
        <rFont val="Arial"/>
        <family val="2"/>
      </rPr>
      <t>2</t>
    </r>
  </si>
  <si>
    <t>MADERA ROLLIZA (VARA)</t>
  </si>
  <si>
    <t>ITEM: ENTIBADO TIPO 2 (CONTINUO EN MADERA)</t>
  </si>
  <si>
    <t>ESPECIFICACIÓN: 20,44</t>
  </si>
  <si>
    <t>ITEM: ENTIBADO TIPO 3 (METALICO) CON TABLEROS</t>
  </si>
  <si>
    <t>RETROEXCAVADORA</t>
  </si>
  <si>
    <t>TABLERO METALICO</t>
  </si>
  <si>
    <t>GATO METALICO</t>
  </si>
  <si>
    <t>UN</t>
  </si>
  <si>
    <t>Entibado Tipo 1 (Apuntalamiento)</t>
  </si>
  <si>
    <t>Entibado Tipo 1A (Discontinuo en Madera)</t>
  </si>
  <si>
    <t>Entibado Tipo 2 (Continuo en Madera)</t>
  </si>
  <si>
    <t>Entibado Tipo 3 (Metalico) Con Tableros</t>
  </si>
  <si>
    <t xml:space="preserve">ITEM: ENTIBADO TIPO 1 (APUNTALAMIENTO) </t>
  </si>
  <si>
    <t>LA TABLA BURRA Y EL CODAL TIENE UNA REUTILIZACION DE 10 VECES</t>
  </si>
  <si>
    <t>EL TABLERO TIENE UN REUSO DE 10 VECES, EL CODAL TIENE UNA REUTILIZACION DE 5 VECES</t>
  </si>
  <si>
    <t>LA TABLA BURRA SU REUSO ES DE 20 VECES</t>
  </si>
  <si>
    <t xml:space="preserve">m </t>
  </si>
  <si>
    <t>m</t>
  </si>
  <si>
    <t xml:space="preserve">TUBERIA RDE 21 </t>
  </si>
  <si>
    <t>CELTA</t>
  </si>
  <si>
    <t>TUBERIA RDE 26</t>
  </si>
  <si>
    <t>und</t>
  </si>
  <si>
    <t>Adaptador Hembra PVC Presion 1/2"</t>
  </si>
  <si>
    <t>Adaptador Hembra PVC Presion 3/4"</t>
  </si>
  <si>
    <t>Adaptador Hembra PVC Presion 1"</t>
  </si>
  <si>
    <t>Adaptador Hembra PVC Presion 2"</t>
  </si>
  <si>
    <t>Collar de Derivacion PVC 3" X 1/2"</t>
  </si>
  <si>
    <t>Collar de Derivacion PVC 3" X 3/4"</t>
  </si>
  <si>
    <t>Collar de Derivacion PVC 4" X 1/2"</t>
  </si>
  <si>
    <t>Union Acometida PF + UAD 1/2"</t>
  </si>
  <si>
    <t>Union Acometida PF + UAD 3/4"</t>
  </si>
  <si>
    <t>Manguera PF. Domiciliaria de 1/2"</t>
  </si>
  <si>
    <t>Manguera P.F. Domiciliaria de 3/4"</t>
  </si>
  <si>
    <t>Silla Yee PVC Alcantarillado 14" X 6" (355mm x 160mm)</t>
  </si>
  <si>
    <t>Silla Yee PVC Alcantarillado 16" X 6" (400mm x 160mm)</t>
  </si>
  <si>
    <t>Silla Yee PVC Alcantarillado 18" X 6" (450mm x 160mm)</t>
  </si>
  <si>
    <t>Silla Yee PVC Alcantarillado 20" X 6" (500mm x 160mm)</t>
  </si>
  <si>
    <t>Silla Yee PVC Alcantarillado 24" X 6"</t>
  </si>
  <si>
    <t>Kit Silla Yee</t>
  </si>
  <si>
    <t>Kit Silla Yee PVC 10" X 6" (250mm x 160mm)</t>
  </si>
  <si>
    <t>Kit Silla Yee PVC 8" X 6" (200mm x 160mm)</t>
  </si>
  <si>
    <t>Kit Silla Yee PVC 12" X 6" (315mm x 160mm)</t>
  </si>
  <si>
    <t xml:space="preserve">Collar de Derivación PVC 8" X 1" </t>
  </si>
  <si>
    <t>Collar de Dericacion PVC 4" X 3/4"</t>
  </si>
  <si>
    <t>Collar de Derivación PVC 6" X 1/2"</t>
  </si>
  <si>
    <t>Collar de Derivación PVC 6" X 3/4"</t>
  </si>
  <si>
    <t xml:space="preserve"> Galápago Hd De 4” X 3/4” </t>
  </si>
  <si>
    <t xml:space="preserve"> Galápago Hd De 4” X 1/2” </t>
  </si>
  <si>
    <t>CALCULO DEL FACTOR PRESTACIONAL</t>
  </si>
  <si>
    <t>VALOR REAL DEL SALARIO 2020 - AFECTACIÓN PRESTACIONAL ANUAL</t>
  </si>
  <si>
    <t>Total Salario + subsidio de transporte</t>
  </si>
  <si>
    <t>AFECTACIÓN PRESTACIONAL ANUAL</t>
  </si>
  <si>
    <t>PESOS</t>
  </si>
  <si>
    <t>N°. SMMLV</t>
  </si>
  <si>
    <t>FACTOR PRESTACIONAL</t>
  </si>
  <si>
    <t>V.JORNAL + PRESTACIONES</t>
  </si>
  <si>
    <t>SALARIO</t>
  </si>
  <si>
    <t>SOLDADOR</t>
  </si>
  <si>
    <t>JORNAL</t>
  </si>
  <si>
    <t>ING. FORESTAL</t>
  </si>
  <si>
    <t>Salario anual con sub. De transporte</t>
  </si>
  <si>
    <t>Cesantias anuales</t>
  </si>
  <si>
    <t>Interes sobre cesantia</t>
  </si>
  <si>
    <t>Prima - 30 días</t>
  </si>
  <si>
    <t>Vacaciones - 15 días</t>
  </si>
  <si>
    <t>SUBTOTAL PRESTACIONES SOCIALES</t>
  </si>
  <si>
    <t>SEGURIDAD SOCIAL</t>
  </si>
  <si>
    <t>SUBTOTAL SEGURIDAD SOCIAL</t>
  </si>
  <si>
    <t>APORTES PARAFISCALES</t>
  </si>
  <si>
    <t xml:space="preserve">ICBF </t>
  </si>
  <si>
    <t>Caja de compensación familiar</t>
  </si>
  <si>
    <t>FIC (Fondo Nacional de Formación Profesional de la Industria de la Construcción)</t>
  </si>
  <si>
    <t>SUBTOTAL PARAFISCALES</t>
  </si>
  <si>
    <t>DOTACIÓN</t>
  </si>
  <si>
    <t>Dotación</t>
  </si>
  <si>
    <t>Implementos de Seguridad</t>
  </si>
  <si>
    <t>SUBTOTAL DOTACIÓN</t>
  </si>
  <si>
    <t>El subsidio de transporte se reconoce hasta dos (2) SMMLV</t>
  </si>
  <si>
    <t>dia</t>
  </si>
  <si>
    <t>dias</t>
  </si>
  <si>
    <t>VALOR JORNAL</t>
  </si>
  <si>
    <t>kg</t>
  </si>
  <si>
    <t>lb</t>
  </si>
  <si>
    <t>Puntilla promedio (2", 2" 1/2", 3")</t>
  </si>
  <si>
    <t>Soldadura PVC de 1/16</t>
  </si>
  <si>
    <t>Guadua de 6m</t>
  </si>
  <si>
    <t>Tabla para formaleta de 2,5cm de espesor x 25cm de anchi x 3m de largo</t>
  </si>
  <si>
    <t>Subsidio de transporte (B)</t>
  </si>
  <si>
    <t>Salario minimo vigente (A)</t>
  </si>
  <si>
    <t>hora</t>
  </si>
  <si>
    <t>Vibrador de Concreto eléctrico</t>
  </si>
  <si>
    <t xml:space="preserve">dia </t>
  </si>
  <si>
    <t>Alambre de pua calibre 12.5 (350 m)</t>
  </si>
  <si>
    <t>Grapas (Largas o Cortas)</t>
  </si>
  <si>
    <t>Acero de refuerzo A-60</t>
  </si>
  <si>
    <t>Acero de refuerzo A-37</t>
  </si>
  <si>
    <t>Angulo de 2" X 1/8"</t>
  </si>
  <si>
    <t>UNIDAD  : m</t>
  </si>
  <si>
    <t>VISIBILIDAD</t>
  </si>
  <si>
    <t>VR.UNITARIO AÑO 2020
(A)</t>
  </si>
  <si>
    <t>VR.UNITARIO AÑO 2016
(B)</t>
  </si>
  <si>
    <t>(A) - (B)</t>
  </si>
  <si>
    <t>ml</t>
  </si>
  <si>
    <r>
      <t>m</t>
    </r>
    <r>
      <rPr>
        <vertAlign val="superscript"/>
        <sz val="11"/>
        <rFont val="Calibri"/>
        <family val="2"/>
        <scheme val="minor"/>
      </rPr>
      <t>3</t>
    </r>
  </si>
  <si>
    <r>
      <t>m</t>
    </r>
    <r>
      <rPr>
        <vertAlign val="superscript"/>
        <sz val="11"/>
        <rFont val="Calibri"/>
        <family val="2"/>
        <scheme val="minor"/>
      </rPr>
      <t>2</t>
    </r>
  </si>
  <si>
    <t>ha</t>
  </si>
  <si>
    <t>pul/ml</t>
  </si>
  <si>
    <t>glb</t>
  </si>
  <si>
    <t>PRECIO N°. 1</t>
  </si>
  <si>
    <t>PRECIO N°. 2</t>
  </si>
  <si>
    <t>PRECIO N°. 3</t>
  </si>
  <si>
    <t>VALOR UNITARIO
PROMEDIO</t>
  </si>
  <si>
    <t>Sardinel en concreto de 2500 PSI fundido en sitio seccion trapezoidal de  (0,15 -0,20) h=0,40m</t>
  </si>
  <si>
    <t>ITEM: Sardinel en concreto de 2500 PSI fundido en sitio seccion trapezoidal de  (0,15 -0,20) h=0,40m</t>
  </si>
  <si>
    <r>
      <t>ARENA
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</si>
  <si>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r>
      <t>TRITURADO
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</si>
  <si>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r>
      <t>PIEDRA
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</si>
  <si>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CEMENTO
kg</t>
  </si>
  <si>
    <t>DESPERDICIO</t>
  </si>
  <si>
    <t>VALOR CON
DESPERDICIO</t>
  </si>
  <si>
    <r>
      <t>m</t>
    </r>
    <r>
      <rPr>
        <vertAlign val="superscript"/>
        <sz val="10"/>
        <color rgb="FF0066FF"/>
        <rFont val="Arial"/>
        <family val="2"/>
      </rPr>
      <t>3</t>
    </r>
  </si>
  <si>
    <t>CONCRETO SIMPLE DE 2000 PSI (1:3:4)</t>
  </si>
  <si>
    <t>CONCRETO SIMPLE DE 2500 PSI (1:2:4)</t>
  </si>
  <si>
    <t>CONCRETO SIMPLE DE 3000 PSI (1:2:3)</t>
  </si>
  <si>
    <t>CONCRETO SIMPLE DE 3500 PSI (1:2:2)</t>
  </si>
  <si>
    <t>V/UNITARIO 2020</t>
  </si>
  <si>
    <t>Riesgos Laborales ARL (V)</t>
  </si>
  <si>
    <t>Pensiones (AFP)</t>
  </si>
  <si>
    <t>Salud (EPS)</t>
  </si>
  <si>
    <t>Total Salario anual</t>
  </si>
  <si>
    <t xml:space="preserve">Subsidio de transporte anual </t>
  </si>
  <si>
    <t>Mensual (A)</t>
  </si>
  <si>
    <t>Total Salario mensual + subsidio de transporte (A) + (B)</t>
  </si>
  <si>
    <t>LIMPIADOR REMOVEDOR PVC 1/4 GAL</t>
  </si>
  <si>
    <t>SOLDADURA LIQUIDA PARA PVC 1/4 GAL</t>
  </si>
  <si>
    <t>SOLDADURA liquida para PVC 1/4 GAL</t>
  </si>
  <si>
    <t>PUNTILLA PROMEDIO (2", 2" 1/2", 3")</t>
  </si>
  <si>
    <t>PINTURA ESMALTE</t>
  </si>
  <si>
    <r>
      <t>UNIDAD  : m</t>
    </r>
    <r>
      <rPr>
        <b/>
        <vertAlign val="superscript"/>
        <sz val="8"/>
        <rFont val="Arial"/>
        <family val="2"/>
      </rPr>
      <t>3/km</t>
    </r>
  </si>
  <si>
    <r>
      <t>UNIDAD  : m</t>
    </r>
    <r>
      <rPr>
        <b/>
        <vertAlign val="superscript"/>
        <sz val="8"/>
        <rFont val="Arial"/>
        <family val="2"/>
      </rPr>
      <t>3</t>
    </r>
  </si>
  <si>
    <r>
      <t>UNIDAD  : m</t>
    </r>
    <r>
      <rPr>
        <b/>
        <vertAlign val="superscript"/>
        <sz val="8"/>
        <rFont val="Arial"/>
        <family val="2"/>
      </rPr>
      <t>3/comp</t>
    </r>
  </si>
  <si>
    <t>ESPECIFICACIÓN: 1,13</t>
  </si>
  <si>
    <t>PIEDRA RAJON</t>
  </si>
  <si>
    <r>
      <t>UNIDAD  : m</t>
    </r>
    <r>
      <rPr>
        <b/>
        <vertAlign val="superscript"/>
        <sz val="8"/>
        <rFont val="Arial"/>
        <family val="2"/>
      </rPr>
      <t>2</t>
    </r>
  </si>
  <si>
    <r>
      <t>VOLQUETA 6 m</t>
    </r>
    <r>
      <rPr>
        <vertAlign val="superscript"/>
        <sz val="8"/>
        <rFont val="Arial"/>
        <family val="2"/>
      </rPr>
      <t>3</t>
    </r>
  </si>
  <si>
    <t>Nuevo</t>
  </si>
  <si>
    <t>ITEM: DEMOLICIÓN MANUAL DE CONCRETO</t>
  </si>
  <si>
    <t>Demolición Estructura Concreto Ciclopeo (Medio mecanico)</t>
  </si>
  <si>
    <t>Demolición Estructura Concreto Reforzado (Medio mecanico)</t>
  </si>
  <si>
    <t>ITEM: DEMOLICION ESTRUCTURA CONCRETO CICLOPEO (medio mecanico)</t>
  </si>
  <si>
    <r>
      <t>UNIDAD  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 xml:space="preserve"> </t>
    </r>
  </si>
  <si>
    <t>umd</t>
  </si>
  <si>
    <t>ITEM: SUMINISTRO E INSTALACION DE COLLAR DE DERIVACION EN PVC DE 3"X1/2"</t>
  </si>
  <si>
    <t>COLLAR DE DERIVACION EN PVC 3X1/2"</t>
  </si>
  <si>
    <t>UNIDAD  : und</t>
  </si>
  <si>
    <t>ITEM: SUMINISTRO E INSTALACION DE COLLAR DE DERIVACION EN PVC DE 3"X3/4"</t>
  </si>
  <si>
    <t>COLLAR DE DERIVACION EN PVC 3X3/4"</t>
  </si>
  <si>
    <t>ITEM: SUMINISTRO E INSTALACION DE COLLAR DE DERIVACION EN PVC DE 4"X1/2"</t>
  </si>
  <si>
    <t>COLLAR DE DERIVACION EN PVC 4"X1/2"</t>
  </si>
  <si>
    <t>ITEM: SUMINISTRO E INSTALACION DE COLLAR DE DERIVACION EN PVC DE 4"X3/4"</t>
  </si>
  <si>
    <t>COLLAR DE DERIVACION EN PVC 4X3/4"</t>
  </si>
  <si>
    <t>Suministro e Instalacion de Collar de Derivacion en PVC de 3" X 1/2"</t>
  </si>
  <si>
    <t>Suministro e Instalacion de Collar de Derivacion en PVC de 3" X 3/4"</t>
  </si>
  <si>
    <t>Suministro e Instalacion de Collar de Derivacion en PVC de 4" X 1/2"</t>
  </si>
  <si>
    <t>Suministro e Instalacion de Collar de Derivacion en PVC de 4" X 3/4"</t>
  </si>
  <si>
    <t>Suministro e Instalacion de Collar de Derivacion en PVC de 6" X 1/2"</t>
  </si>
  <si>
    <t>Suministro e Instalacion de Collar de Derivacion en PVC de 6" X 3/4"</t>
  </si>
  <si>
    <t>ITEM: SUMINISTRO E INSTALACION DE COLLAR DE DERIVACION EN PVC DE 6"X1/2"</t>
  </si>
  <si>
    <t>COLLAR DE DERIVACION EN PVC 6"X1/2"</t>
  </si>
  <si>
    <t>ITEM: SUMINISTRO E INSTALACION DE COLLAR DE DERIVACION EN PVC DE 6"X3/4"</t>
  </si>
  <si>
    <t>COLLAR DE DERIVACION EN PVC 6"X3/4"</t>
  </si>
  <si>
    <t>Suministro e Instalacion de Collar de Derivacion en PVC de 8" X 1"</t>
  </si>
  <si>
    <t>ITEM: SUMINISTRO E INSTALACION DE COLLAR DE DERIVACION EN PVC DE 8"X1"</t>
  </si>
  <si>
    <t>COLLAR DE DERIVACION EN PVC 8"X1"</t>
  </si>
  <si>
    <t>Collar Derivación en Hierro Dúctil 3" X 3/4"</t>
  </si>
  <si>
    <t>Collar Derivación en Hierro Dúctil 3" X 1/2"</t>
  </si>
  <si>
    <t>Collar Derivación en Hierro Dúctil 3" X 1"</t>
  </si>
  <si>
    <t>Collar Derivación en Hierro Dúctil 4" X 1/2"</t>
  </si>
  <si>
    <t>Collar Derivación en Hierro Dúctil 4" X 3/4"</t>
  </si>
  <si>
    <t>Collar Derivación en Hierro Dúctil 4" X 1"</t>
  </si>
  <si>
    <t>Suministro e Instalacion de Collar de Derivacion en Hierro Ductil 4" X 1/2"</t>
  </si>
  <si>
    <t>Suministro e Instalacion de Collar de Derivacion en Hierro Ductil 4" X 3/4"</t>
  </si>
  <si>
    <t>Suministro e Instalacion de Collar de Derivacion en Hierro Ductil 4" X 1"</t>
  </si>
  <si>
    <t>Suministro e Instalacion de Collar de Derivacion en Hierro Ductil 6" X 1/2"</t>
  </si>
  <si>
    <t>Suministro e Instalacion de Collar de Derivacion en Hierro Ductil 6" X 3/4"</t>
  </si>
  <si>
    <t>Suministro e Instalacion de Collar de Derivacion en Hierro Ductil 6" X 1"</t>
  </si>
  <si>
    <t>Collar Derivación en Hierro Dúctil 6" X 1/2"</t>
  </si>
  <si>
    <t>Collar Derivación en Hierro Dúctil 6" X 3/4"</t>
  </si>
  <si>
    <t>Collar Derivación en Hierro Dúctil 6" X 1"</t>
  </si>
  <si>
    <t>COLLAR DE DERIVACION EN HD 3"X1/2"</t>
  </si>
  <si>
    <t>COLLAR DE DERIVACION EN HD 3"X3/4"</t>
  </si>
  <si>
    <t>COLLAR DE DERIVACION EN HD 3"X1"</t>
  </si>
  <si>
    <t>ITEM: SUMINISTRO E INSTALACION DE COLLAR DE DERIVACION EN HIERRO DUCTIL DE 4"x1/2"</t>
  </si>
  <si>
    <t>COLLAR DE DERIVACION EN HD 4"x1/2"</t>
  </si>
  <si>
    <t>ITEM: SUMINISTRO E INSTALACION DE COLLAR DE DERIVACION EN HIERRO DUCTIL DE 4"x3/4"</t>
  </si>
  <si>
    <t>COLLAR DE DERIVACION EN HD 4"x3/4"</t>
  </si>
  <si>
    <r>
      <t>ITEM: SUMINISTRO E INSTALACION DE COLLAR DE DERIVACION EN HIERRO DUCTIL DE 4</t>
    </r>
    <r>
      <rPr>
        <sz val="8"/>
        <rFont val="Arial"/>
        <family val="2"/>
      </rPr>
      <t>"</t>
    </r>
    <r>
      <rPr>
        <b/>
        <sz val="8"/>
        <rFont val="Arial"/>
        <family val="2"/>
      </rPr>
      <t>x1"</t>
    </r>
  </si>
  <si>
    <t>COLLAR DE DERIVACION EN HD 4"x1"</t>
  </si>
  <si>
    <t>ITEM: SUMINISTRO E INSTALACION DE COLLAR DE DERIVACION EN HIERRO DUCTIL DE 6"x1/2"</t>
  </si>
  <si>
    <t>COLLAR DE DERIVACION EN HD 6"x1/2"</t>
  </si>
  <si>
    <t xml:space="preserve">ITEM: SUMINISTRO E INSTALACIÓN COLLAR DE DERIVACIÓN EN HIERRO DÚCTIL 6" X 3/4" </t>
  </si>
  <si>
    <t>COLLAR DE DERIVACIÓN DE HD 6"X3/4"</t>
  </si>
  <si>
    <t>COLLAR DE DERIVACIÓN DE HD 6"X1"</t>
  </si>
  <si>
    <t>Suministro e Instalacion de Collar de Derivacion en Hierro Ductil 3" X 1/2"</t>
  </si>
  <si>
    <t>Suministro e Instalacion de Collar de Derivacion en Hierro Ductil 3" X 3/4"</t>
  </si>
  <si>
    <t>Suministro e Instalacion de Collar de Derivacion en Hierro Ductil 3" X 1"</t>
  </si>
  <si>
    <t>Suministro e instalación de Arotapa Completa Vibrocompactada</t>
  </si>
  <si>
    <t>AROTAPA COMPLETA VIBROCOMPACTADA</t>
  </si>
  <si>
    <t xml:space="preserve">Tapa para Arotapa Vibrocompactada </t>
  </si>
  <si>
    <t>Suministro e Instalacion de Tapa para Aerotapa Vibrocompactada</t>
  </si>
  <si>
    <t>Arotapa Vibrocompactada</t>
  </si>
  <si>
    <t xml:space="preserve">ITEM:  Mantenimiento Forestal incluye 20% de reposicion </t>
  </si>
  <si>
    <t>UNIDAD  : ha</t>
  </si>
  <si>
    <t>Plantulas h=1m (Reposicion 20%)</t>
  </si>
  <si>
    <t>Fertilizante Quimico Compuesto (15-15-15)</t>
  </si>
  <si>
    <t>Hidroretenedor bolsa x840gr</t>
  </si>
  <si>
    <t>gr</t>
  </si>
  <si>
    <t>Insecticida Granular</t>
  </si>
  <si>
    <t>Plantula (Altura Promedio 1m)</t>
  </si>
  <si>
    <t>bolsa</t>
  </si>
  <si>
    <t>UNIDAD  : ml</t>
  </si>
  <si>
    <t>ITEM: Suministro e Instalación Tubería Acometida Domiciliaria pf+uad Polietileno 1/2"</t>
  </si>
  <si>
    <t>ITEM: Suministro e Instalación Tubería Acometida Domiciliaria pf+uad Polietileno 3/4"</t>
  </si>
  <si>
    <t>Suministro e Instalación Tubería Acometida Domiciliaria pf+uad Polietileno 1/2"</t>
  </si>
  <si>
    <t>Suministro e Instalación Tubería Acometida Domiciliaria pf+uad Polietileno 3/4"</t>
  </si>
  <si>
    <t>Canguro o Saltarín (Apisonador)</t>
  </si>
  <si>
    <t>Mezcladora para Concreto (1Bulto)</t>
  </si>
  <si>
    <t>Rana (Vibrocompactadora Manual)</t>
  </si>
  <si>
    <t>Retroexcavadora de llanta</t>
  </si>
  <si>
    <t>Compactador de llanta (Neumáticos)</t>
  </si>
  <si>
    <t>Cortadora de Pavimento con disco</t>
  </si>
  <si>
    <t>Cortadora de pavimento con disco</t>
  </si>
  <si>
    <t>Compresor con Martillo Neumatico Demoledor</t>
  </si>
  <si>
    <t>Transporte materiales en mula</t>
  </si>
  <si>
    <t>flete</t>
  </si>
  <si>
    <t>Reforestacion Protectora (h=1m)</t>
  </si>
  <si>
    <t>Plantulas h=1m</t>
  </si>
  <si>
    <t>ITEM:  Reforestacion Protectora (h=1m)</t>
  </si>
  <si>
    <t>Reforestacion Sistema Agroforestal</t>
  </si>
  <si>
    <t>ITEM:  Reforestacion Sistema Agroforestal</t>
  </si>
  <si>
    <t>Plantulas Frutales</t>
  </si>
  <si>
    <t>Abonaza</t>
  </si>
  <si>
    <t>ITEM:  Mantenimiento Sistema Agroforestal (20% Reposicion)</t>
  </si>
  <si>
    <t>Mantenimiento Sistema Agroforestal (20% Reposicion)</t>
  </si>
  <si>
    <t>Reforestacion Guadua</t>
  </si>
  <si>
    <t>Plantula (Guadua)</t>
  </si>
  <si>
    <t>Plantulas (Guadua)</t>
  </si>
  <si>
    <t>ITEM:  Reforestacion Guadua</t>
  </si>
  <si>
    <t>Mantenimiento de Guadua (20% Reposicion)</t>
  </si>
  <si>
    <t>ITEM:  Mantenimiento de Guadua (20% Reposicion)</t>
  </si>
  <si>
    <t>Enriquecimiento Forestal</t>
  </si>
  <si>
    <t>ITEM:  Enriquecimiento Forestal</t>
  </si>
  <si>
    <t xml:space="preserve">Plantulas h=1m </t>
  </si>
  <si>
    <t>Establecimiento Arbol Aislado (Incluye Chiquero)</t>
  </si>
  <si>
    <t>ITEM: Establecimiento Arbol Aislado (Incluye Chiquero)</t>
  </si>
  <si>
    <t>Mantenimiento Árbol Aislado</t>
  </si>
  <si>
    <t>Empradizacion con Cespedon</t>
  </si>
  <si>
    <t>Mantenimiento Enriquecimiento Forestal (20% Repos)</t>
  </si>
  <si>
    <t>ITEM:  Mantenimiento Enriquecimiento Forestal (20% Repos)</t>
  </si>
  <si>
    <t>ITEM: Mantenimiento Árbol Aislado</t>
  </si>
  <si>
    <t>Grapas</t>
  </si>
  <si>
    <t>Acarreo horizontal (10%MO)</t>
  </si>
  <si>
    <t>Hidroretenedor bolsa x 840gr</t>
  </si>
  <si>
    <r>
      <t>m</t>
    </r>
    <r>
      <rPr>
        <vertAlign val="superscript"/>
        <sz val="10"/>
        <rFont val="Arial"/>
        <family val="2"/>
      </rPr>
      <t>3</t>
    </r>
  </si>
  <si>
    <t>Mezcla Asfaltica Tipo MDC-19 (Invias 2013) en sitio</t>
  </si>
  <si>
    <r>
      <t>m</t>
    </r>
    <r>
      <rPr>
        <vertAlign val="superscript"/>
        <sz val="10"/>
        <rFont val="Arial"/>
        <family val="2"/>
      </rPr>
      <t>3/km</t>
    </r>
  </si>
  <si>
    <t>gal</t>
  </si>
  <si>
    <t>rollo</t>
  </si>
  <si>
    <t>gbl</t>
  </si>
  <si>
    <t>Arena de Rio</t>
  </si>
  <si>
    <t>Formaleta (Concreto)</t>
  </si>
  <si>
    <t>RIEGO DE LIGA CRR-1 (EMULSIÓN)</t>
  </si>
  <si>
    <t>Riego de Liga CRR-1 (Emulsion)</t>
  </si>
  <si>
    <t>lt</t>
  </si>
  <si>
    <t>Malla para gaviones (2 x 1 x 1m)  calibre 12  hueco 10 X 10 cm</t>
  </si>
  <si>
    <r>
      <t>Volqueta de 6m</t>
    </r>
    <r>
      <rPr>
        <vertAlign val="superscript"/>
        <sz val="10"/>
        <rFont val="Arial"/>
        <family val="2"/>
      </rPr>
      <t>3</t>
    </r>
  </si>
  <si>
    <t>Compactador Benitin (Jala Bobo)</t>
  </si>
  <si>
    <t>Estacion Total</t>
  </si>
  <si>
    <t>lts</t>
  </si>
  <si>
    <r>
      <t>m</t>
    </r>
    <r>
      <rPr>
        <vertAlign val="superscript"/>
        <sz val="10"/>
        <rFont val="Arial"/>
        <family val="2"/>
      </rPr>
      <t>2</t>
    </r>
  </si>
  <si>
    <t>Triturado de 1/2 Y/o 3/4</t>
  </si>
  <si>
    <t>Cinta Teflón 3/4 x 50m</t>
  </si>
  <si>
    <t>Base</t>
  </si>
  <si>
    <t>Formaleta Metalica Sardinel</t>
  </si>
  <si>
    <t>Lubricante</t>
  </si>
  <si>
    <t>Tierra Negra (preparada con sisco)</t>
  </si>
  <si>
    <t>Tierra negra</t>
  </si>
  <si>
    <t>Revisar</t>
  </si>
  <si>
    <t>Silla Yee</t>
  </si>
  <si>
    <t>ITEM: SUMINISTRO E INSTALACION DE SILLA YEE 14x6" PVC INCLUYE CAUCHO Y ADERENCIA</t>
  </si>
  <si>
    <t>Adhesivo para tubería de pared estructural 310 ml</t>
  </si>
  <si>
    <t>Adhesivo para tubería de pared estructural</t>
  </si>
  <si>
    <t>ITEM: Malla reflectiva color naranja h=1.0m</t>
  </si>
  <si>
    <t>Malla reflectiva color naranja h=1.0m</t>
  </si>
  <si>
    <t>Malla reflectiva color naranja h:1.0m</t>
  </si>
  <si>
    <t>Alambre negro calibre 18</t>
  </si>
  <si>
    <t>ITEM: Cono vial tipo invias</t>
  </si>
  <si>
    <t>Cono vial tipo invias</t>
  </si>
  <si>
    <t>Conos viales de 70 cm Norma Invías</t>
  </si>
  <si>
    <t>ITEM: SUMINISTRO E INSTALACION KIT SILLA YEE 8x6" PVC INCLUYE AGARRADERAS CAUCHO Y ADERENCIA</t>
  </si>
  <si>
    <t>ITEM: SUMINISTRO E INSTALACION DE KIT SILLA YEE 10x6" PVC INCLUYE AGARRADERAS CAUCHO Y ADERENCIA</t>
  </si>
  <si>
    <t>ITEM: SUMINISTRO E INSTALACION DE KIT SILLA YEE 12x6" PVC INCLUYE AGARRADERAS CAUCHO Y ADERENCIA</t>
  </si>
  <si>
    <t xml:space="preserve">Yees Concreto 8" x 6" </t>
  </si>
  <si>
    <t xml:space="preserve">Yees Concreto 10" x 6" </t>
  </si>
  <si>
    <t xml:space="preserve">Yees Concreto 12" x 6" </t>
  </si>
  <si>
    <t xml:space="preserve">Yees Concreto 14" x 6" </t>
  </si>
  <si>
    <t xml:space="preserve">Yees Concreto 16" x 6" </t>
  </si>
  <si>
    <t xml:space="preserve">Yees Concreto 18" x 6" </t>
  </si>
  <si>
    <t xml:space="preserve">Yees Concreto 20" x 6" </t>
  </si>
  <si>
    <t xml:space="preserve">Yees Concreto 24" x 6" </t>
  </si>
  <si>
    <t>23,1,1</t>
  </si>
  <si>
    <t>23,1,2</t>
  </si>
  <si>
    <t>23,1,3</t>
  </si>
  <si>
    <t>23,1,4</t>
  </si>
  <si>
    <t>23,1,5</t>
  </si>
  <si>
    <t>23,1,6</t>
  </si>
  <si>
    <t>23,1,7</t>
  </si>
  <si>
    <t>23,1,8</t>
  </si>
  <si>
    <t>23,1,9</t>
  </si>
  <si>
    <t>23,1,10</t>
  </si>
  <si>
    <t>23,1,11</t>
  </si>
  <si>
    <t>24,1,1</t>
  </si>
  <si>
    <t>24,1,2</t>
  </si>
  <si>
    <t>24,1,3</t>
  </si>
  <si>
    <t>24,1,4</t>
  </si>
  <si>
    <t>24,1,5</t>
  </si>
  <si>
    <t>24,1,6</t>
  </si>
  <si>
    <t>24,1,7</t>
  </si>
  <si>
    <t>24,1,8</t>
  </si>
  <si>
    <t>24,1,9</t>
  </si>
  <si>
    <t>24,1,10</t>
  </si>
  <si>
    <t>24,1,11</t>
  </si>
  <si>
    <t xml:space="preserve">Mantenimiento Forestal incluye 20% de reposicion </t>
  </si>
  <si>
    <t>II. INSUMOS</t>
  </si>
  <si>
    <t>Actividad</t>
  </si>
  <si>
    <t>Plateo</t>
  </si>
  <si>
    <t>Ahoyado</t>
  </si>
  <si>
    <t>Aplicación  de fertilizantes y correctivos</t>
  </si>
  <si>
    <t>Transporte interno de insumos</t>
  </si>
  <si>
    <t xml:space="preserve">Control fitosanitario </t>
  </si>
  <si>
    <t>Reposición (Replante)</t>
  </si>
  <si>
    <t>Camtidad</t>
  </si>
  <si>
    <t xml:space="preserve">Limpias </t>
  </si>
  <si>
    <t>Chiquero de Guadua tres esquinas</t>
  </si>
  <si>
    <t>bgbl</t>
  </si>
  <si>
    <t>Alambre de pua calibre 12</t>
  </si>
  <si>
    <t>Ambiental</t>
  </si>
  <si>
    <t>Pie de Amigo</t>
  </si>
  <si>
    <t>Trazado</t>
  </si>
  <si>
    <t>Hincado</t>
  </si>
  <si>
    <t>Templado y Grapado</t>
  </si>
  <si>
    <t>Pintado y señalizado</t>
  </si>
  <si>
    <t>arifa de Transporte (camioneta)</t>
  </si>
  <si>
    <t>Gal</t>
  </si>
  <si>
    <t>Pintura Asmalte</t>
  </si>
  <si>
    <t>Tiner</t>
  </si>
  <si>
    <t>Transporte interno</t>
  </si>
  <si>
    <t>Rocería</t>
  </si>
  <si>
    <t>Poste Plastico para cercas de (8cmx6cmx2,2m)</t>
  </si>
  <si>
    <t>Instalacion de Accesorios de 1/2" hasta 3/4"</t>
  </si>
  <si>
    <t>ITEM: Instalacion de Accesorios de 1/2" hasta 3/4"</t>
  </si>
  <si>
    <t>Instalacion de Accesorios de 1" hasta 2"</t>
  </si>
  <si>
    <t>ITEM: Instalacion de Accesorios de 1" hasta 2"</t>
  </si>
  <si>
    <t>Instalacion de Accesorios de 3" hasta 4"</t>
  </si>
  <si>
    <t>ITEM: Instalacion de Accesorios de 3" hasta 4"</t>
  </si>
  <si>
    <t>Instalacion de Accesorios de 6" hasta 8"</t>
  </si>
  <si>
    <t>ITEM: Instalacion de Accesorios de 6" hasta 8"</t>
  </si>
  <si>
    <t>Instalacion de Accesorios de 10" hasta 14"</t>
  </si>
  <si>
    <t>ITEM: Instalacion de Accesorios de 10" hasta 14"</t>
  </si>
  <si>
    <t>Instalacion de Accesorios de 16" hasta 20"</t>
  </si>
  <si>
    <t>ITEM: Instalacion de Accesorios de 16" hasta 20"</t>
  </si>
  <si>
    <t>SUMINISTRO E INSTALACION TUBERIA PVC UNION MECANICA PRESION RDE 21</t>
  </si>
  <si>
    <t>Suministro e Instalacion Llave de Paso PVC 1/2" de Bola</t>
  </si>
  <si>
    <t>Suministro e Instalacion Llave de Paso PVC 3/4" de Bola</t>
  </si>
  <si>
    <t>Suministro e Instalacion Llave de Paso PVC 1" de Bola</t>
  </si>
  <si>
    <t>Suministro e Instalacion Llave de Paso PVC 2" de Bola</t>
  </si>
  <si>
    <t>Suministro e Instalacion Llave de Paso PVC 3" de Bola</t>
  </si>
  <si>
    <t>Suministro e Instalacion Llave de Paso PVC 4" de Bola</t>
  </si>
  <si>
    <t>Llave de Paso PVC 1/2" de Bola</t>
  </si>
  <si>
    <t>Llave de Paso PVC 3/4" de Bola</t>
  </si>
  <si>
    <t>Llave de Paso PVC 1" de Bola</t>
  </si>
  <si>
    <t>Llave de Paso PVC 2" de Bola</t>
  </si>
  <si>
    <t>Llave de Paso PVC 3" de Bola</t>
  </si>
  <si>
    <t>Llave de Paso PVC 4" de Bola</t>
  </si>
  <si>
    <t>Válvula de Compuerta Sello de Bronce Vastago no Ascendente Extremo liso PVC de 2"</t>
  </si>
  <si>
    <t>Válvula de Compuerta Sello de Bronce Vastago no Ascendente Extremo liso PVC de 4"</t>
  </si>
  <si>
    <t>Válvula de Compuerta Sello de Bronce Vastago no Ascendente Extremo liso PVC de 3"</t>
  </si>
  <si>
    <t>Válvula de Compuerta Sello de Bronce Vastago no Ascendente Extremo liso PVC de 6"</t>
  </si>
  <si>
    <t>Válvula de Compuerta Sello de Bronce Vastago no Ascendente Extremo liso PVC de 8"</t>
  </si>
  <si>
    <t>Válvula de Compuerta Sello de Bronce Vastago no Ascendente Extremo liso PVC de 10"</t>
  </si>
  <si>
    <t>Válvula de Compuerta Sello de Bronce Vastago no Ascendente Extremo liso PVC de 12"</t>
  </si>
  <si>
    <t>Válvula de Compuerta Sello de Bronce Vastago no Ascendente Extremo liso PVC de 14"</t>
  </si>
  <si>
    <t>Válvula de Compuerta Sello de Bronce Vastago no Ascendente Extremo liso PVC de 16"</t>
  </si>
  <si>
    <t>Válvula de Compuerta Sello de Bronce Vastago no Ascendente Extremo liso PVC de 18"</t>
  </si>
  <si>
    <t>Válvula de Compuerta Sello de Bronce Vastago no Ascendente Extremo liso PVC de 20"</t>
  </si>
  <si>
    <t>Suministro e Instalación de registro de incorporación 3/4" Bronce</t>
  </si>
  <si>
    <t>Suministro e Instalacion de registro de incorporacion 1/2" Bronce</t>
  </si>
  <si>
    <t>ITEM: Suministro e Instalacion Llave de Paso PVC 1/2" de Bola</t>
  </si>
  <si>
    <t>ITEM: Suministro e Instalacion Llave de Paso PVC 3/4" de Bola</t>
  </si>
  <si>
    <t>ITEM: Suministro e Instalacion Llave de Paso PVC 1" de Bola</t>
  </si>
  <si>
    <t>ITEM: Suministro e Instalacion Llave de Paso PVC 2" de Bola</t>
  </si>
  <si>
    <t>ITEM: Suministro e Instalacion Llave de Paso PVC 3" de Bola</t>
  </si>
  <si>
    <t>ITEM: Suministro e Instalacion Llave de Paso PVC 4" de Bola</t>
  </si>
  <si>
    <t>ITEM: SUMINISTRO E INSTALACIÓN VÁLVULA DE COMPUERTA SELLO DE BRONCE VASTAGO NO ASCENDENTE EXTERMOS LISO PVC DE 2"</t>
  </si>
  <si>
    <t>ITEM: SUMINISTRO E INSTALACIÓN VÁLVULA DE COMPUERTA SELLO DE BRONCE VASTAGO NO ASCENDENTE EXTREMOS LISO PVC DE 3"</t>
  </si>
  <si>
    <t>ITEM: SUMINISTRO E INSTALACIÓN VÁLVULA DE COMPUERTA SELLO DE BRONCE VASTAGO NO ASCENDENTE EXTREMOS LISO PVC DE 4"</t>
  </si>
  <si>
    <t>ITEM: SUMINISTRO E INSTALACIÓN VÁLVULA DE COMPUERTA SELLO DE BRONCE VASTAGO NO ASCENDENTE EXTREMOS LISO PVC DE 6"</t>
  </si>
  <si>
    <t>ITEM: SUMINISTRO E INSTALACIÓN VÁLVULA DE COMPUERTA SELLO DE BRONCE VASTAGO NO ASCENDENTE EXTREMOS LISO PVC DE 8"</t>
  </si>
  <si>
    <t>ITEM: SUMINISTRO E INSTALACIÓN VÁLVULA DE COMPUERTA SELLO DE BRONCE VASTAGO NO ASCENDENTE EXTREMOS LISO PVC DE 10"</t>
  </si>
  <si>
    <t>ITEM: SUMINISTRO E INSTALACIÓN VÁLVULA DE COMPUERTA SELLO DE BRONCE VASTAGO NO ASCENDENTE EXTREMOS LISO PVC DE 12"</t>
  </si>
  <si>
    <t>ITEM: SUMINISTRO E INSTALACIÓN VÁLVULA DE COMPUERTA SELLO DE BRONCE VASTAGO NO ASCENDENTE EXTREMOS LISO PVC DE 14"</t>
  </si>
  <si>
    <t>ITEM: SUMINISTRO E INSTALACIÓN VÁLVULA DE COMPUERTA SELLO DE BRONCE VASTAGO NO ASCENDENTE EXTREMOS LISO PVC DE 20"</t>
  </si>
  <si>
    <t>ITEM: SUMINISTRO E INSTALACIÓN VÁLVULA DE COMPUERTA SELLO DE BRONCE VASTAGO NO ASCENDENTE EXTREMOS LISO PVC DE 18"</t>
  </si>
  <si>
    <t>ITEM: SUMINISTRO E INSTALACIÓN VÁLVULA DE COMPUERTA SELLO DE BRONCE VASTAGO NO ASCENDENTE EXTREMOS LISO PVC DE 16"</t>
  </si>
  <si>
    <t xml:space="preserve">Suministro e Instalacion Valvula de Compuerta Sello de Bronce Vastago no Ascendente Extremo Liso PVC de 2" </t>
  </si>
  <si>
    <t xml:space="preserve">Suministro e Instalacion Valvula de Compuerta Sello de Bronce Vastago no Ascendente Extremo Liso PVC de 3" </t>
  </si>
  <si>
    <t xml:space="preserve">Suministro e Instalacion Valvula de Compuerta Sello de Bronce Vastago no Ascendente Extremo Liso PVC de 6" </t>
  </si>
  <si>
    <t xml:space="preserve">Suministro e Instalacion Valvula de Compuerta Sello de Bronce Vastago no Ascendente Extremo Liso PVC de 8" </t>
  </si>
  <si>
    <t xml:space="preserve">Suministro e Instalacion Valvula de Compuerta Sello de Bronce Vastago no Ascendente Extremo Liso PVC de 10" </t>
  </si>
  <si>
    <t xml:space="preserve">Suministro e Instalacion Valvula de Compuerta Sello de Bronce Vastago no Ascendente Extremo Liso PVC de 12" </t>
  </si>
  <si>
    <t xml:space="preserve">Suministro e Instalacion Valvula de Compuerta Sello de Bronce Vastago no Ascendente Extremo Liso PVC de 14" </t>
  </si>
  <si>
    <t xml:space="preserve">Suministro e Instalacion Valvula de Compuerta Sello de Bronce Vastago no Ascendente Extremo Liso PVC de 16" </t>
  </si>
  <si>
    <t xml:space="preserve">Suministro e Instalacion Valvula de Compuerta Sello de Bronce Vastago no Ascendente Extremo Liso PVC de 18" </t>
  </si>
  <si>
    <t xml:space="preserve">Suministro e Instalacion Valvula de Compuerta Sello de Bronce Vastago no Ascendente Extremo Liso PVC de 20" </t>
  </si>
  <si>
    <t>ITEM: SUMINISTRO E INSTALACIÓN VÁLVULA VENTOSA DE 3" BRIDADA TRIPLE ACCIÓN</t>
  </si>
  <si>
    <t>ITEM: SUMINISTRO E INSTALACIÓN VÁLVULA VENTOSA DE 4" BRIDADA TRIPLE ACCIÓN</t>
  </si>
  <si>
    <t>ITEM: SUMINISTRO E INSTALACIÓN VÁLVULA VENTOSA DE 6" BRIDADA TRIPLE ACCIÓN</t>
  </si>
  <si>
    <t>ITEM: SUMINISTRO E INSTALACIÓN VÁLVULA VENTOSA DE 8" BRIDADA TRIPLE ACCIÓN</t>
  </si>
  <si>
    <t>ESPECIFICACIÓN: 22,7</t>
  </si>
  <si>
    <t>ESPECIFICACIÓN: 22,8</t>
  </si>
  <si>
    <t>ESPECIFICACIÓN: 22,10</t>
  </si>
  <si>
    <t>ESPECIFICACIÓN: 22,9</t>
  </si>
  <si>
    <t>ESPECIFICACIÓN: 22,6</t>
  </si>
  <si>
    <t>ESPECIFICACIÓN: 22,5</t>
  </si>
  <si>
    <t>ESPECIFICACIÓN: 22,12</t>
  </si>
  <si>
    <t>ESPECIFICACIÓN: 22,11</t>
  </si>
  <si>
    <t>ESPECIFICACIÓN: 22,13</t>
  </si>
  <si>
    <t>ESPECIFICACIÓN: 22,14</t>
  </si>
  <si>
    <t>ESPECIFICACIÓN: 22,16</t>
  </si>
  <si>
    <t>ESPECIFICACIÓN: 22,15</t>
  </si>
  <si>
    <t>Lleno compactado con material del sitio proveniente de la excavacion</t>
  </si>
  <si>
    <t>ITEM: Lleno compactado con material del sitio proveniente de la excavacion</t>
  </si>
  <si>
    <t>ITEM: ACARREO INTERNO EN OBRA 50m</t>
  </si>
  <si>
    <t>SILLA YEE 14x6" PVC (incluye caucho)</t>
  </si>
  <si>
    <t>SILLA YEE 16x6" PVC (incluye caucho)</t>
  </si>
  <si>
    <t>SILLA YEE 18x6" PVC (incluye caucho)</t>
  </si>
  <si>
    <t>SILLA YEE 24x6" PVC (incluye caucho)</t>
  </si>
  <si>
    <t>SILLA YEE 20x6" PVC (incluye caucho)</t>
  </si>
  <si>
    <t>Sobrantes</t>
  </si>
  <si>
    <t>Concreto de 13,8 Mpa (2.000 PSI) Para Solado</t>
  </si>
  <si>
    <t>ESPECIFICACIÓN: 5,4</t>
  </si>
  <si>
    <t>ITEM: INSTALACION Y SUMINISTRO DE CONCRETO 4.000 PSI ESTRUCTURA</t>
  </si>
  <si>
    <t>Anden en concreto de 2500 PSI e=0,10 ( incluye alistado y nivelación)</t>
  </si>
  <si>
    <t>Arena</t>
  </si>
  <si>
    <t>ESPECIFICACIÓN: 5,15</t>
  </si>
  <si>
    <t>UNIDAD  : kg</t>
  </si>
  <si>
    <t>ESPECIFICACIÓN: 23,1,1</t>
  </si>
  <si>
    <t>ESPECIFICACIÓN: 23,1,2</t>
  </si>
  <si>
    <t>ESPECIFICACIÓN: 23,1,3</t>
  </si>
  <si>
    <t>ESPECIFICACIÓN: 23,1,4</t>
  </si>
  <si>
    <t>ESPECIFICACIÓN: 23,1,5</t>
  </si>
  <si>
    <t>ESPECIFICACIÓN: 23,1,6</t>
  </si>
  <si>
    <t>ESPECIFICACIÓN: 23,1,7</t>
  </si>
  <si>
    <t>ESPECIFICACIÓN: 23,1,8</t>
  </si>
  <si>
    <t>ESPECIFICACIÓN: 23,1,9</t>
  </si>
  <si>
    <t>ESPECIFICACIÓN: 23,1,10</t>
  </si>
  <si>
    <t>ESPECIFICACIÓN: 23,1,11</t>
  </si>
  <si>
    <t>ESPECIFICACIÓN: 24,1,1</t>
  </si>
  <si>
    <t>ESPECIFICACIÓN: 24,1,2</t>
  </si>
  <si>
    <t>ESPECIFICACIÓN: 24,1,3</t>
  </si>
  <si>
    <t>ESPECIFICACIÓN: 24,1,4</t>
  </si>
  <si>
    <t>ESPECIFICACIÓN: 24,1,5</t>
  </si>
  <si>
    <t>ESPECIFICACIÓN: 24,1,6</t>
  </si>
  <si>
    <t>ESPECIFICACIÓN: 24,1,7</t>
  </si>
  <si>
    <t>ESPECIFICACIÓN: 24,1,8</t>
  </si>
  <si>
    <t>ESPECIFICACIÓN: 24,1,9</t>
  </si>
  <si>
    <t>ESPECIFICACIÓN: 24,1,10</t>
  </si>
  <si>
    <t>ESPECIFICACIÓN: 24,1,11</t>
  </si>
  <si>
    <t>Demolición manual de concreto</t>
  </si>
  <si>
    <t>Sumidero en concreto 3.000 PSI (Incluye rejilla vibro compactada de 1,05x0,36)</t>
  </si>
  <si>
    <t>ITEM: Sumidero en concreto 3.000 PSI (Incluye rejilla vibro compactada de 1,05x0,36)</t>
  </si>
  <si>
    <t>rejilla vibro compactada de 1,05x0,36x0,12m</t>
  </si>
  <si>
    <t>ITEM: Sumidero en concreto 3.000 PSI (Incluye rejilla vibro compactada de 1,05x0,46)</t>
  </si>
  <si>
    <t>Sumidero en concreto 3.000 PSI (Incluye rejilla vibro compactada de 1,05x0,46)</t>
  </si>
  <si>
    <t>rejilla vibro compactada de 1,05x0,46x0,12m</t>
  </si>
  <si>
    <t>Rejilla Vibrocompactada para Sumidero 1,05X0,46 MTS</t>
  </si>
  <si>
    <t>Bolsacreto</t>
  </si>
  <si>
    <t>Mortero 1:3</t>
  </si>
  <si>
    <t>Concreto ciclópeo (2.500 PSI - 17,2 Mpa) Cimentacion</t>
  </si>
  <si>
    <t xml:space="preserve">Concreto de 24,5 Mpa (3.500 PSI) Estructuras </t>
  </si>
  <si>
    <t>Muro en ladrillo tolete común e = 12 cm</t>
  </si>
  <si>
    <t>13.1.5</t>
  </si>
  <si>
    <t>13.1.6</t>
  </si>
  <si>
    <t>13.1.7</t>
  </si>
  <si>
    <t>13.1.8</t>
  </si>
  <si>
    <t>13.1.9</t>
  </si>
  <si>
    <t>13.1.10</t>
  </si>
  <si>
    <t>13.1.11</t>
  </si>
  <si>
    <t>13.1.12</t>
  </si>
  <si>
    <t>13.1.13</t>
  </si>
  <si>
    <t>Suministro e Instalacion Lecho en Arena Para Tuberia</t>
  </si>
  <si>
    <t>Suministro e Instalacion de Kit Silla Yee 8"X 6"  PVC Incluye Agarraderas Caucho y Adherencia</t>
  </si>
  <si>
    <t xml:space="preserve">Suministro e Instalacion de Kit Silla Yee 10"X 6"  PVC Incluye Agarraderas Caucho y Adherencia </t>
  </si>
  <si>
    <t>Suministro e Instalacion de Kit Silla Yee 12"X 6"  PVC Incluye Agarraderas Caucho Y adherencia</t>
  </si>
  <si>
    <t xml:space="preserve">Suministro e Instalacion de Silla Yee 14"X 6"  PVC Incluye Caucho y Adherencia </t>
  </si>
  <si>
    <t>Suministro e Instalacion de Silla Yee 16"X 6"  PVC Incluye Caucho y Adherencia</t>
  </si>
  <si>
    <t>Suministro e Instalacion de Silla Yee 18"X 6"  PVC Incluye Caucho y Adherencia</t>
  </si>
  <si>
    <t>Suministro e Instalacion de Silla Yee 20"X 6"  PVC Incluye Caucho y Adherencia</t>
  </si>
  <si>
    <t xml:space="preserve">Suministro e Instalacion de Silla Yee 24"X 6"  PVC Incluye Cauchos y Adherencia </t>
  </si>
  <si>
    <t xml:space="preserve">Suministro e Instalacion Valvula de Compuerta Sellos de Bronce Vastago no Ascendente Extremo Liso PVC de 4" </t>
  </si>
  <si>
    <t>Llave de Paso PVC 1/2" de Bola Lisa</t>
  </si>
  <si>
    <t>Llave de Paso PVC 3/4" de Bola Lisa</t>
  </si>
  <si>
    <t>Llave de Paso PVC 1" de Bola Lisa</t>
  </si>
  <si>
    <t>Llave de Paso PVC 2" de Bola Lisa</t>
  </si>
  <si>
    <t>Llave de Paso PVC 3" de Bola Lisa</t>
  </si>
  <si>
    <t>Llave de Paso PVC 4" de Bola Lisa</t>
  </si>
  <si>
    <t>Riego de liga con emulsión asfáltica CRR-1</t>
  </si>
  <si>
    <t>ITEM: Riego de liga con emulsión asfáltica CRR-1</t>
  </si>
  <si>
    <t>Carrotanque Irrigador de asfalto, 1000 Galones de capacidad</t>
  </si>
  <si>
    <t>Compresor (barrido y soplado)</t>
  </si>
  <si>
    <r>
      <t>m</t>
    </r>
    <r>
      <rPr>
        <vertAlign val="superscript"/>
        <sz val="8"/>
        <rFont val="Arial"/>
        <family val="2"/>
      </rPr>
      <t>2</t>
    </r>
  </si>
  <si>
    <t>ITEM: SUMINISTRO DE MEZCLA ASFALTICA  MDC-19  SOBRE TERMINADORA</t>
  </si>
  <si>
    <t xml:space="preserve">Suministro de mezcla asfáltica MDC - 19 tipo rodadura sobre terminadora </t>
  </si>
  <si>
    <t>ASFALTO MDC-19</t>
  </si>
  <si>
    <t xml:space="preserve">TERMINADORA DE ASFALTO O FINISHER </t>
  </si>
  <si>
    <t>M3/COMP</t>
  </si>
  <si>
    <t>COMPACTADOR DEASFALTO  NEUMATICOS</t>
  </si>
  <si>
    <t xml:space="preserve">VIBRO COMPACTADOR DE RODILLO 8 TON </t>
  </si>
  <si>
    <t xml:space="preserve">OFICIAL </t>
  </si>
  <si>
    <t xml:space="preserve">RASTRILLERO </t>
  </si>
  <si>
    <t xml:space="preserve">MEZCLA ASFALTICA MCD 19 puesta en sitio </t>
  </si>
  <si>
    <t xml:space="preserve">ASFALTO MDC-19 PUESTO EN SITIO </t>
  </si>
  <si>
    <t xml:space="preserve">MEZCLA ASFALTICA MDC -19 PUESTA EN SITIO </t>
  </si>
  <si>
    <r>
      <t>m</t>
    </r>
    <r>
      <rPr>
        <vertAlign val="superscript"/>
        <sz val="10"/>
        <rFont val="Arial"/>
        <family val="2"/>
      </rPr>
      <t>3/comp</t>
    </r>
  </si>
  <si>
    <t>Llave de Paso de 1/2" Red White Bronce</t>
  </si>
  <si>
    <t>Llave de Paso de 3/4" White Bronce</t>
  </si>
  <si>
    <t>Llave de paso 1" White Bronce</t>
  </si>
  <si>
    <t>Llave de paso 2" Red White Bronce</t>
  </si>
  <si>
    <t>Llave de paso 3" Red White Bronce</t>
  </si>
  <si>
    <t>Llave de paso 4" Red White Bronce</t>
  </si>
  <si>
    <t>Suministro e Instalacion Llave de Paso 1/2" RW Bronce</t>
  </si>
  <si>
    <t>Suministro e Instalacion Llave de Paso 3/4" RW Bronce</t>
  </si>
  <si>
    <t>Suministro e Instalacion Llave de Paso 1" RW Bronce</t>
  </si>
  <si>
    <t>Suministro e Instalacion Llave de Paso 2" RW Bromce</t>
  </si>
  <si>
    <t>Suministro e Instalacion Llave de Paso 3" RW Bronce</t>
  </si>
  <si>
    <t>Suministro e Instalacion Llave de Paso 4" RW Bronce</t>
  </si>
  <si>
    <t>ITEM: Suministro e Instalacion Llave de Paso 1/2" RW Bronce</t>
  </si>
  <si>
    <t>LLAVE DE PASO 1/2" RED WHITE BRONCE</t>
  </si>
  <si>
    <t>ITEM: Suministro e Instalacion Llave de Paso 3/4" RW Bronce</t>
  </si>
  <si>
    <t>LLAVE DE PASO 3/4 RED WHITE BRONCE</t>
  </si>
  <si>
    <t>ITEM: Suministro e Instalacion Llave de Paso 1" RW Bronce</t>
  </si>
  <si>
    <t>LLAVE DE PASO 1" RED WHITE BRONCE</t>
  </si>
  <si>
    <t>ITEM: Suministro e Instalacion Llave de Paso 2" RW Bromce</t>
  </si>
  <si>
    <t>LLAVE DE PASO 2" RED WHITE BRONCE</t>
  </si>
  <si>
    <t>ITEM: Suministro e Instalacion Llave de Paso 3" RW Bronce</t>
  </si>
  <si>
    <t>LLAVE DE PASO 3" RED WHITE BRONCE</t>
  </si>
  <si>
    <t>ITEM: Suministro e Instalacion Llave de Paso 4" RW Bronce</t>
  </si>
  <si>
    <t>LLAVE DE PASO 4" RED WHITE BRONCE</t>
  </si>
  <si>
    <r>
      <t>m</t>
    </r>
    <r>
      <rPr>
        <vertAlign val="superscript"/>
        <sz val="11"/>
        <rFont val="Calibri"/>
        <family val="2"/>
        <scheme val="minor"/>
      </rPr>
      <t>3/km</t>
    </r>
  </si>
  <si>
    <r>
      <t>m</t>
    </r>
    <r>
      <rPr>
        <vertAlign val="superscript"/>
        <sz val="11"/>
        <rFont val="Calibri"/>
        <family val="2"/>
        <scheme val="minor"/>
      </rPr>
      <t>3/comp</t>
    </r>
  </si>
  <si>
    <t>Aislamiento con cercos de plasticos, a cuatro hilos alambre de púa calibre 12.5</t>
  </si>
  <si>
    <t>ITEM:  Aislamiento con cercos plasticos, a cuatro hilos alambre de púa calibre 12</t>
  </si>
  <si>
    <t>ITEM: SUMINISTRO E INSTALACION AEROTAPA COMPLETA VIBROCOMPACTADA</t>
  </si>
  <si>
    <t>ITEM: SUMINISTRO E INSTALACION DE TAPA PARA AEROTAPA VIBROCOMPACTADA</t>
  </si>
  <si>
    <t>ESPECIFICACIÓN: 20,54</t>
  </si>
  <si>
    <t>ESPECIFICACIÓN: 20,53</t>
  </si>
  <si>
    <t>ESPECIFICACIÓN: 20,52</t>
  </si>
  <si>
    <t>ESPECIFICACIÓN: 20,51</t>
  </si>
  <si>
    <t>Cerramiento en malla de polietileno naranja h=1,0m, con señalizador tubular de 1.30m. Con 3 cintas</t>
  </si>
  <si>
    <t>ITEM: Cerramiento en malla de polietileno naranja h=1,0m, con señalizador tubular de 1.30m. Con 3 cintas</t>
  </si>
  <si>
    <t>Señalizador vial tubular base naranja h=1.30 cm</t>
  </si>
  <si>
    <t>Cinta Demarcación Peligro-No Pase</t>
  </si>
  <si>
    <t>Transporte 10%Materiales</t>
  </si>
  <si>
    <t>Barreras plásticas flexibles (maletines) de 2x1x0,50m</t>
  </si>
  <si>
    <t>Transporte (10%Materiales)</t>
  </si>
  <si>
    <t>ITEM: Suministro de maletines para cerramiento (2.00m. X 1.00 x 0.50) con cinta reflectiva grado ingenieria incluye tapa de llenado y tapon de drenaje. 30KG</t>
  </si>
  <si>
    <t>Suministro de valla informativa de piso según diseño IBAL</t>
  </si>
  <si>
    <t>ITEM: Suministro de valla informativa de piso según diseño IBAL</t>
  </si>
  <si>
    <t>Soldadura</t>
  </si>
  <si>
    <t>estampado resistente a la intemperie,</t>
  </si>
  <si>
    <t>Tubo cuadrado 50 x 50 x 1.5mm</t>
  </si>
  <si>
    <t>Señal Preventiva Portátil Tablero y Trípode</t>
  </si>
  <si>
    <t>AYUDANTES</t>
  </si>
  <si>
    <t>Transporte 5%Materiales</t>
  </si>
  <si>
    <t>Señales provisional movil para obra tipo tripode incluye tablero</t>
  </si>
  <si>
    <t>ITEM: Señales provisional movil para obra tipo tripode incluye tablero</t>
  </si>
  <si>
    <t>Lamina galvanizada cal 20</t>
  </si>
  <si>
    <t>AYUDANTE SOLDADURA</t>
  </si>
  <si>
    <t>Suministro de maletines para cerramiento (2m X 1m x 0.50m) con cinta reflectiva grado ingenieria incluye tapa de llenado y tapon de drenaje. 30kg</t>
  </si>
  <si>
    <t>ESPECIFICACIÓN: 20,49</t>
  </si>
  <si>
    <t>ESPECIFICACIÓN: 5,12</t>
  </si>
  <si>
    <t>ESPECIFICACIÓN: 6,11</t>
  </si>
  <si>
    <t>ESPECIFICACIÓN: 13,1,13</t>
  </si>
  <si>
    <t>ESPECIFICACIÓN: 14,1,12</t>
  </si>
  <si>
    <t>ESPECIFICACIÓN: 15,1,8</t>
  </si>
  <si>
    <t>ESPECIFICACIÓN: 16,1,7</t>
  </si>
  <si>
    <t>ESPECIFICACIÓN: 20,1</t>
  </si>
  <si>
    <t>ESPECIFICACIÓN: 20.31</t>
  </si>
  <si>
    <t>ESPECIFICACIÓN: 20.32</t>
  </si>
  <si>
    <t>ESPECIFICACIÓN: 20.33</t>
  </si>
  <si>
    <t>ESPECIFICACIÓN: 20.34</t>
  </si>
  <si>
    <t>ESPECIFICACIÓN: 20.35</t>
  </si>
  <si>
    <t>ESPECIFICACIÓN: 20.36</t>
  </si>
  <si>
    <t>ESPECIFICACIÓN: 20,38</t>
  </si>
  <si>
    <t>ESPECIFICACIÓN: 20,39</t>
  </si>
  <si>
    <t>ESPECIFICACIÓN: 20,43</t>
  </si>
  <si>
    <t>ESPECIFICACIÓN: 20,45</t>
  </si>
  <si>
    <t>ESPECIFICACIÓN: 20,46</t>
  </si>
  <si>
    <t>ESPECIFICACIÓN: 20,47</t>
  </si>
  <si>
    <t>ESPECIFICACIÓN: 20,48</t>
  </si>
  <si>
    <t>ESPECIFICACIÓN: 20,50</t>
  </si>
  <si>
    <t>ESPECIFICACIÓN: 21.1</t>
  </si>
  <si>
    <t>ESPECIFICACIÓN: 21.2</t>
  </si>
  <si>
    <t>ESPECIFICACIÓN: 21.3</t>
  </si>
  <si>
    <t>ESPECIFICACIÓN: 21.4</t>
  </si>
  <si>
    <t>ESPECIFICACIÓN: 21.5</t>
  </si>
  <si>
    <t>ESPECIFICACIÓN: 21.6</t>
  </si>
  <si>
    <t>ESPECIFICACIÓN: 22.1</t>
  </si>
  <si>
    <t>ESPECIFICACIÓN: 22.2</t>
  </si>
  <si>
    <t>ESPECIFICACIÓN: 22.3</t>
  </si>
  <si>
    <t>ESPECIFICACIÓN: 22.4</t>
  </si>
  <si>
    <t>ESPECIFICACIÓN: 22.17</t>
  </si>
  <si>
    <t>ESPECIFICACIÓN: 22.18</t>
  </si>
  <si>
    <t>ESPECIFICACIÓN: 22.19</t>
  </si>
  <si>
    <t>ESPECIFICACIÓN: 22.20</t>
  </si>
  <si>
    <t>ESPECIFICACIÓN: 22.21</t>
  </si>
  <si>
    <t>ESPECIFICACIÓN: 22.22</t>
  </si>
  <si>
    <t>ESPECIFICACIÓN: 22.23</t>
  </si>
  <si>
    <t>ESPECIFICACIÓN: 22.24</t>
  </si>
  <si>
    <t>ESPECIFICACIÓN: 22.25</t>
  </si>
  <si>
    <t>ESPECIFICACIÓN: 22.26</t>
  </si>
  <si>
    <t>ESPECIFICACIÓN: 22.27</t>
  </si>
  <si>
    <t>ESPECIFICACIÓN: 22.28</t>
  </si>
  <si>
    <t>ESPECIFICACIÓN: 22.29</t>
  </si>
  <si>
    <t>ESPECIFICACIÓN: 22.30</t>
  </si>
  <si>
    <t>ESPECIFICACIÓN: 22.31</t>
  </si>
  <si>
    <t>ESPECIFICACIÓN: 22.32</t>
  </si>
  <si>
    <t>ESPECIFICACIÓN: 22.33</t>
  </si>
  <si>
    <t>ESPECIFICACIÓN: 22.34</t>
  </si>
  <si>
    <t>ESPECIFICACIÓN: 22.35</t>
  </si>
  <si>
    <t>ESPECIFICACIÓN: 22.36</t>
  </si>
  <si>
    <t>ESPECIFICACIÓN: 22.37</t>
  </si>
  <si>
    <t>ESPECIFICACIÓN: 22.38</t>
  </si>
  <si>
    <t>ESPECIFICACIÓN: 22.39</t>
  </si>
  <si>
    <t>ESPECIFICACIÓN: 22.40</t>
  </si>
  <si>
    <t>ESPECIFICACIÓN: 22.41</t>
  </si>
  <si>
    <t>ESPECIFICACIÓN: 22.42</t>
  </si>
  <si>
    <t>ESPECIFICACIÓN: 22.43</t>
  </si>
  <si>
    <t>ESPECIFICACIÓN: 22.44</t>
  </si>
  <si>
    <t>ESPECIFICACIÓN: 22.45</t>
  </si>
  <si>
    <t>ESPECIFICACIÓN: 22.46</t>
  </si>
  <si>
    <t>ESPECIFICACIÓN: 22.47</t>
  </si>
  <si>
    <t>ESPECIFICACIÓN: 22.48</t>
  </si>
  <si>
    <t>ESPECIFICACIÓN: 22.49</t>
  </si>
  <si>
    <t>ESPECIFICACIÓN: 22.50</t>
  </si>
  <si>
    <t>ESPECIFICACIÓN: 22.51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</si>
</sst>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* #,##0.00\ _P_t_s_-;\-* #,##0.00\ _P_t_s_-;_-* &quot;-&quot;??\ _P_t_s_-;_-@_-"/>
    <numFmt numFmtId="167" formatCode="d\-mmmm\-\y\y\y\y"/>
    <numFmt numFmtId="168" formatCode="&quot;$&quot;#,##0.00_);\(&quot;$&quot;#,##0.00\)"/>
    <numFmt numFmtId="169" formatCode="&quot;$&quot;#,##0_);\(&quot;$&quot;#,##0\)"/>
    <numFmt numFmtId="170" formatCode="0.000"/>
    <numFmt numFmtId="171" formatCode="0.0%"/>
    <numFmt numFmtId="172" formatCode="[$$-240A]\ #,##0;[Red][$$-240A]\ #,##0"/>
    <numFmt numFmtId="173" formatCode="0;[Red]0"/>
    <numFmt numFmtId="174" formatCode="&quot;$&quot;\ #,##0.00"/>
    <numFmt numFmtId="175" formatCode="[$$-240A]\ #,##0.00;[Red][$$-240A]\ #,##0.00"/>
    <numFmt numFmtId="176" formatCode="0.0"/>
    <numFmt numFmtId="177" formatCode="_(* #,##0_);_(* \(#,##0\);_(* &quot;-&quot;??_);_(@_)"/>
    <numFmt numFmtId="178" formatCode="[$$-240A]\ #,##0"/>
    <numFmt numFmtId="179" formatCode="#,##0.000"/>
    <numFmt numFmtId="180" formatCode="#.##\ \K\g"/>
    <numFmt numFmtId="181" formatCode="_-* #,##0.00\ &quot;Pts&quot;\^\-;\-* #,##0.00\ &quot;Pts&quot;_-;_-* &quot;-&quot;??\ &quot;Pts&quot;_-;_-@_-"/>
    <numFmt numFmtId="182" formatCode="#,##0.0"/>
    <numFmt numFmtId="183" formatCode="_(&quot;$&quot;\ * #,##0_);_(&quot;$&quot;\ * \(#,##0\);_(&quot;$&quot;\ * &quot;-&quot;??_);_(@_)"/>
    <numFmt numFmtId="184" formatCode="#,##0.0000"/>
    <numFmt numFmtId="185" formatCode="_-[$$-240A]\ * #,##0.00_ ;_-[$$-240A]\ * \-#,##0.00\ ;_-[$$-240A]\ * &quot;-&quot;??_ ;_-@_ "/>
    <numFmt numFmtId="186" formatCode="_-[$$-240A]\ * #,##0.00_-;\-[$$-240A]\ * #,##0.00_-;_-[$$-240A]\ * &quot;-&quot;??_-;_-@_-"/>
    <numFmt numFmtId="187" formatCode="_([$$-240A]\ * #,##0.00_);_([$$-240A]\ * \(#,##0.00\);_([$$-240A]\ * &quot;-&quot;??_);_(@_)"/>
    <numFmt numFmtId="188" formatCode="#\ &quot;MINIMO&quot;"/>
    <numFmt numFmtId="189" formatCode="#.0\ &quot;MINIMO&quot;"/>
    <numFmt numFmtId="190" formatCode="_-&quot;$&quot;\ * #,##0.00_-;\-&quot;$&quot;\ * #,##0.00_-;_-&quot;$&quot;\ * &quot;-&quot;_-;_-@_-"/>
    <numFmt numFmtId="191" formatCode="&quot;$&quot;\ #,##0"/>
    <numFmt numFmtId="192" formatCode="#.##\ \K\m"/>
    <numFmt numFmtId="193" formatCode="#"/>
    <numFmt numFmtId="194" formatCode="_-&quot;$&quot;\ * #,##0.0_-;\-&quot;$&quot;\ * #,##0.0_-;_-&quot;$&quot;\ * &quot;-&quot;_-;_-@_-"/>
    <numFmt numFmtId="195" formatCode="#.0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8"/>
      <name val="Arial"/>
      <family val="2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sz val="10"/>
      <color rgb="FF00206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2"/>
      <color rgb="FF00206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Futura Md BT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10"/>
      <color rgb="FF7030A0"/>
      <name val="Arial"/>
      <family val="2"/>
    </font>
    <font>
      <b/>
      <sz val="11"/>
      <color rgb="FF7030A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8"/>
      <name val="Arial"/>
      <family val="2"/>
    </font>
    <font>
      <sz val="9"/>
      <color indexed="81"/>
      <name val="Tahoma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u/>
      <sz val="12"/>
      <name val="Calibri"/>
      <family val="2"/>
      <scheme val="minor"/>
    </font>
    <font>
      <sz val="10"/>
      <color rgb="FF0066FF"/>
      <name val="Arial"/>
      <family val="2"/>
    </font>
    <font>
      <sz val="11"/>
      <color rgb="FF0066FF"/>
      <name val="Calibri"/>
      <family val="2"/>
      <scheme val="minor"/>
    </font>
    <font>
      <b/>
      <i/>
      <sz val="10"/>
      <name val="Arial"/>
      <family val="2"/>
    </font>
    <font>
      <sz val="12"/>
      <name val="Arial"/>
      <family val="2"/>
    </font>
    <font>
      <sz val="11"/>
      <color rgb="FF0000FF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00FF"/>
      <name val="Comic Sans MS"/>
      <family val="4"/>
    </font>
    <font>
      <b/>
      <sz val="11"/>
      <name val="Arial"/>
      <family val="2"/>
    </font>
    <font>
      <sz val="10"/>
      <color rgb="FF0000FF"/>
      <name val="Arial"/>
      <family val="2"/>
    </font>
    <font>
      <b/>
      <sz val="11"/>
      <color rgb="FF0066FF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0"/>
      <color rgb="FF0066FF"/>
      <name val="Arial"/>
      <family val="2"/>
    </font>
    <font>
      <b/>
      <u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10"/>
      <name val="Arial"/>
      <family val="2"/>
    </font>
    <font>
      <sz val="10"/>
      <color rgb="FF6600CC"/>
      <name val="Arial"/>
      <family val="2"/>
    </font>
    <font>
      <sz val="11"/>
      <color rgb="FF6600CC"/>
      <name val="Calibri"/>
      <family val="2"/>
      <scheme val="minor"/>
    </font>
    <font>
      <b/>
      <sz val="10"/>
      <color rgb="FFFF0000"/>
      <name val="Arial"/>
      <family val="2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22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2" fillId="0" borderId="0" applyFill="0" applyBorder="0" applyAlignment="0" applyProtection="0"/>
    <xf numFmtId="2" fontId="2" fillId="0" borderId="0" applyFill="0" applyBorder="0" applyAlignment="0" applyProtection="0"/>
    <xf numFmtId="168" fontId="2" fillId="0" borderId="0" applyFill="0" applyBorder="0" applyAlignment="0" applyProtection="0"/>
    <xf numFmtId="169" fontId="2" fillId="0" borderId="0" applyFill="0" applyBorder="0" applyAlignment="0" applyProtection="0"/>
    <xf numFmtId="39" fontId="2" fillId="0" borderId="0" applyFill="0" applyBorder="0" applyAlignment="0" applyProtection="0"/>
    <xf numFmtId="37" fontId="2" fillId="0" borderId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43">
    <xf numFmtId="0" fontId="0" fillId="0" borderId="0" xfId="0"/>
    <xf numFmtId="2" fontId="0" fillId="0" borderId="0" xfId="0" applyNumberForma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Border="1"/>
    <xf numFmtId="0" fontId="8" fillId="0" borderId="0" xfId="0" applyFont="1" applyBorder="1"/>
    <xf numFmtId="166" fontId="0" fillId="0" borderId="0" xfId="0" applyNumberFormat="1" applyBorder="1"/>
    <xf numFmtId="0" fontId="0" fillId="0" borderId="0" xfId="0" applyAlignment="1">
      <alignment horizontal="center"/>
    </xf>
    <xf numFmtId="2" fontId="0" fillId="0" borderId="0" xfId="0" applyNumberFormat="1"/>
    <xf numFmtId="164" fontId="0" fillId="0" borderId="0" xfId="0" applyNumberFormat="1"/>
    <xf numFmtId="0" fontId="0" fillId="0" borderId="0" xfId="0" applyFill="1" applyBorder="1"/>
    <xf numFmtId="164" fontId="0" fillId="0" borderId="0" xfId="16" applyFont="1"/>
    <xf numFmtId="0" fontId="0" fillId="0" borderId="0" xfId="0" applyAlignment="1">
      <alignment wrapText="1"/>
    </xf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1" applyNumberFormat="1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0" fillId="0" borderId="7" xfId="0" applyBorder="1" applyAlignment="1">
      <alignment vertical="center"/>
    </xf>
    <xf numFmtId="0" fontId="2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8" fillId="0" borderId="0" xfId="0" quotePrefix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35" xfId="0" applyFont="1" applyBorder="1" applyAlignment="1">
      <alignment horizontal="center" vertical="center"/>
    </xf>
    <xf numFmtId="0" fontId="10" fillId="0" borderId="35" xfId="0" quotePrefix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28" xfId="0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vertical="center"/>
    </xf>
    <xf numFmtId="179" fontId="10" fillId="0" borderId="1" xfId="0" applyNumberFormat="1" applyFont="1" applyBorder="1" applyAlignment="1">
      <alignment vertical="center"/>
    </xf>
    <xf numFmtId="4" fontId="10" fillId="0" borderId="2" xfId="0" applyNumberFormat="1" applyFont="1" applyBorder="1" applyAlignment="1">
      <alignment vertical="center"/>
    </xf>
    <xf numFmtId="0" fontId="10" fillId="0" borderId="30" xfId="0" applyFont="1" applyBorder="1" applyAlignment="1">
      <alignment vertical="center"/>
    </xf>
    <xf numFmtId="3" fontId="10" fillId="0" borderId="9" xfId="0" applyNumberFormat="1" applyFont="1" applyBorder="1" applyAlignment="1">
      <alignment horizontal="center" vertical="center"/>
    </xf>
    <xf numFmtId="3" fontId="10" fillId="0" borderId="9" xfId="0" applyNumberFormat="1" applyFont="1" applyBorder="1" applyAlignment="1">
      <alignment vertical="center"/>
    </xf>
    <xf numFmtId="170" fontId="10" fillId="0" borderId="1" xfId="0" applyNumberFormat="1" applyFont="1" applyBorder="1" applyAlignment="1">
      <alignment vertical="center"/>
    </xf>
    <xf numFmtId="3" fontId="10" fillId="0" borderId="38" xfId="0" applyNumberFormat="1" applyFont="1" applyBorder="1" applyAlignment="1">
      <alignment horizontal="center" vertical="center"/>
    </xf>
    <xf numFmtId="3" fontId="10" fillId="0" borderId="38" xfId="0" applyNumberFormat="1" applyFont="1" applyBorder="1" applyAlignment="1">
      <alignment vertical="center"/>
    </xf>
    <xf numFmtId="4" fontId="10" fillId="0" borderId="38" xfId="0" applyNumberFormat="1" applyFont="1" applyBorder="1" applyAlignment="1">
      <alignment vertical="center"/>
    </xf>
    <xf numFmtId="4" fontId="10" fillId="0" borderId="39" xfId="0" applyNumberFormat="1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4" fontId="10" fillId="0" borderId="33" xfId="0" applyNumberFormat="1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1" xfId="0" applyNumberFormat="1" applyFont="1" applyBorder="1" applyAlignment="1">
      <alignment vertical="center"/>
    </xf>
    <xf numFmtId="179" fontId="10" fillId="0" borderId="9" xfId="0" applyNumberFormat="1" applyFont="1" applyBorder="1" applyAlignment="1">
      <alignment vertical="center"/>
    </xf>
    <xf numFmtId="4" fontId="10" fillId="0" borderId="13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40" xfId="0" applyFont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NumberFormat="1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37" xfId="0" applyFont="1" applyBorder="1" applyAlignment="1">
      <alignment vertical="center"/>
    </xf>
    <xf numFmtId="0" fontId="10" fillId="0" borderId="41" xfId="0" applyFont="1" applyBorder="1" applyAlignment="1">
      <alignment horizontal="center" vertical="center"/>
    </xf>
    <xf numFmtId="4" fontId="10" fillId="0" borderId="1" xfId="17" applyNumberFormat="1" applyFont="1" applyBorder="1" applyAlignment="1">
      <alignment vertical="center"/>
    </xf>
    <xf numFmtId="9" fontId="10" fillId="0" borderId="1" xfId="2" applyFont="1" applyBorder="1" applyAlignment="1">
      <alignment horizontal="center" vertical="center"/>
    </xf>
    <xf numFmtId="4" fontId="10" fillId="0" borderId="42" xfId="0" applyNumberFormat="1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0" fillId="0" borderId="43" xfId="0" applyFont="1" applyBorder="1" applyAlignment="1">
      <alignment horizontal="centerContinuous" vertical="center"/>
    </xf>
    <xf numFmtId="0" fontId="10" fillId="0" borderId="7" xfId="0" applyFont="1" applyBorder="1" applyAlignment="1">
      <alignment horizontal="centerContinuous" vertical="center"/>
    </xf>
    <xf numFmtId="0" fontId="10" fillId="0" borderId="44" xfId="0" applyFont="1" applyBorder="1" applyAlignment="1">
      <alignment horizontal="centerContinuous" vertical="center"/>
    </xf>
    <xf numFmtId="0" fontId="10" fillId="0" borderId="44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9" fontId="10" fillId="0" borderId="4" xfId="0" applyNumberFormat="1" applyFont="1" applyBorder="1" applyAlignment="1">
      <alignment vertical="center"/>
    </xf>
    <xf numFmtId="4" fontId="10" fillId="0" borderId="3" xfId="0" applyNumberFormat="1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9" fontId="10" fillId="0" borderId="38" xfId="0" applyNumberFormat="1" applyFont="1" applyBorder="1" applyAlignment="1">
      <alignment vertical="center"/>
    </xf>
    <xf numFmtId="4" fontId="10" fillId="0" borderId="18" xfId="0" applyNumberFormat="1" applyFont="1" applyBorder="1" applyAlignment="1">
      <alignment vertical="center"/>
    </xf>
    <xf numFmtId="4" fontId="10" fillId="0" borderId="29" xfId="0" applyNumberFormat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" fontId="10" fillId="0" borderId="1" xfId="2" applyNumberFormat="1" applyFont="1" applyBorder="1" applyAlignment="1">
      <alignment horizontal="center" vertical="center"/>
    </xf>
    <xf numFmtId="4" fontId="10" fillId="0" borderId="35" xfId="0" quotePrefix="1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45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3" fontId="10" fillId="0" borderId="10" xfId="0" applyNumberFormat="1" applyFont="1" applyBorder="1" applyAlignment="1">
      <alignment horizontal="center" vertical="center"/>
    </xf>
    <xf numFmtId="3" fontId="10" fillId="0" borderId="10" xfId="0" applyNumberFormat="1" applyFont="1" applyBorder="1" applyAlignment="1">
      <alignment vertical="center"/>
    </xf>
    <xf numFmtId="179" fontId="10" fillId="0" borderId="10" xfId="0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5" xfId="0" applyNumberFormat="1" applyFont="1" applyBorder="1" applyAlignment="1">
      <alignment horizontal="center" vertical="center"/>
    </xf>
    <xf numFmtId="179" fontId="10" fillId="0" borderId="5" xfId="0" applyNumberFormat="1" applyFont="1" applyBorder="1" applyAlignment="1">
      <alignment vertical="center"/>
    </xf>
    <xf numFmtId="4" fontId="10" fillId="0" borderId="9" xfId="0" applyNumberFormat="1" applyFont="1" applyBorder="1" applyAlignment="1">
      <alignment vertical="center"/>
    </xf>
    <xf numFmtId="4" fontId="10" fillId="0" borderId="5" xfId="0" applyNumberFormat="1" applyFont="1" applyBorder="1" applyAlignment="1">
      <alignment vertical="center"/>
    </xf>
    <xf numFmtId="3" fontId="10" fillId="3" borderId="9" xfId="0" applyNumberFormat="1" applyFont="1" applyFill="1" applyBorder="1" applyAlignment="1">
      <alignment vertical="center"/>
    </xf>
    <xf numFmtId="3" fontId="10" fillId="3" borderId="5" xfId="0" applyNumberFormat="1" applyFont="1" applyFill="1" applyBorder="1" applyAlignment="1">
      <alignment vertical="center"/>
    </xf>
    <xf numFmtId="3" fontId="10" fillId="0" borderId="14" xfId="0" applyNumberFormat="1" applyFont="1" applyBorder="1" applyAlignment="1">
      <alignment horizontal="center" vertical="center"/>
    </xf>
    <xf numFmtId="3" fontId="10" fillId="3" borderId="1" xfId="0" applyNumberFormat="1" applyFont="1" applyFill="1" applyBorder="1" applyAlignment="1">
      <alignment vertical="center"/>
    </xf>
    <xf numFmtId="4" fontId="10" fillId="0" borderId="22" xfId="0" applyNumberFormat="1" applyFont="1" applyBorder="1" applyAlignment="1">
      <alignment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82" fontId="10" fillId="0" borderId="9" xfId="0" applyNumberFormat="1" applyFont="1" applyBorder="1" applyAlignment="1">
      <alignment horizontal="center" vertical="center"/>
    </xf>
    <xf numFmtId="4" fontId="10" fillId="0" borderId="11" xfId="0" applyNumberFormat="1" applyFont="1" applyBorder="1" applyAlignment="1">
      <alignment vertical="center"/>
    </xf>
    <xf numFmtId="182" fontId="10" fillId="0" borderId="1" xfId="0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82" fontId="10" fillId="0" borderId="1" xfId="0" applyNumberFormat="1" applyFont="1" applyBorder="1" applyAlignment="1">
      <alignment vertical="center"/>
    </xf>
    <xf numFmtId="176" fontId="10" fillId="0" borderId="1" xfId="0" applyNumberFormat="1" applyFont="1" applyBorder="1" applyAlignment="1">
      <alignment horizontal="center" vertical="center"/>
    </xf>
    <xf numFmtId="182" fontId="10" fillId="0" borderId="9" xfId="0" applyNumberFormat="1" applyFont="1" applyBorder="1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22" fillId="0" borderId="2" xfId="0" applyFont="1" applyBorder="1"/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right" vertical="center"/>
    </xf>
    <xf numFmtId="3" fontId="10" fillId="0" borderId="4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4" fontId="0" fillId="0" borderId="0" xfId="0" applyNumberFormat="1"/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6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4" fontId="10" fillId="0" borderId="38" xfId="0" applyNumberFormat="1" applyFont="1" applyBorder="1" applyAlignment="1">
      <alignment horizontal="center" vertical="center"/>
    </xf>
    <xf numFmtId="4" fontId="10" fillId="0" borderId="39" xfId="0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0" fillId="0" borderId="43" xfId="0" applyFont="1" applyBorder="1" applyAlignment="1">
      <alignment horizontal="center" vertical="center"/>
    </xf>
    <xf numFmtId="0" fontId="11" fillId="0" borderId="46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182" fontId="10" fillId="0" borderId="10" xfId="0" applyNumberFormat="1" applyFont="1" applyBorder="1" applyAlignment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0" fontId="10" fillId="0" borderId="1" xfId="2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4" fontId="10" fillId="0" borderId="10" xfId="0" applyNumberFormat="1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1" applyNumberFormat="1" applyFont="1" applyFill="1" applyBorder="1" applyAlignment="1">
      <alignment vertical="center"/>
    </xf>
    <xf numFmtId="178" fontId="14" fillId="0" borderId="0" xfId="1" applyNumberFormat="1" applyFont="1" applyFill="1" applyBorder="1" applyAlignment="1">
      <alignment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35" xfId="0" applyFont="1" applyBorder="1" applyAlignment="1">
      <alignment horizontal="center" vertical="center"/>
    </xf>
    <xf numFmtId="9" fontId="10" fillId="0" borderId="1" xfId="2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164" fontId="1" fillId="0" borderId="0" xfId="16" applyNumberFormat="1" applyFill="1" applyBorder="1" applyAlignment="1">
      <alignment horizontal="center"/>
    </xf>
    <xf numFmtId="165" fontId="8" fillId="0" borderId="0" xfId="1" applyFont="1" applyFill="1" applyBorder="1"/>
    <xf numFmtId="164" fontId="0" fillId="0" borderId="0" xfId="16" applyNumberFormat="1" applyFont="1" applyFill="1" applyBorder="1"/>
    <xf numFmtId="0" fontId="21" fillId="0" borderId="0" xfId="0" applyFont="1" applyFill="1" applyBorder="1"/>
    <xf numFmtId="164" fontId="0" fillId="0" borderId="0" xfId="16" applyNumberFormat="1" applyFont="1" applyFill="1" applyBorder="1" applyAlignment="1">
      <alignment horizontal="center"/>
    </xf>
    <xf numFmtId="164" fontId="20" fillId="0" borderId="0" xfId="16" applyNumberFormat="1" applyFont="1" applyFill="1" applyBorder="1" applyAlignment="1">
      <alignment horizontal="center"/>
    </xf>
    <xf numFmtId="10" fontId="0" fillId="0" borderId="0" xfId="0" applyNumberFormat="1" applyFill="1" applyBorder="1"/>
    <xf numFmtId="4" fontId="10" fillId="0" borderId="2" xfId="19" applyNumberFormat="1" applyFont="1" applyBorder="1"/>
    <xf numFmtId="3" fontId="23" fillId="0" borderId="1" xfId="19" applyNumberFormat="1" applyFont="1" applyBorder="1" applyAlignment="1">
      <alignment horizontal="center"/>
    </xf>
    <xf numFmtId="3" fontId="10" fillId="0" borderId="1" xfId="19" applyNumberFormat="1" applyFont="1" applyBorder="1"/>
    <xf numFmtId="4" fontId="23" fillId="0" borderId="1" xfId="19" applyNumberFormat="1" applyFont="1" applyBorder="1"/>
    <xf numFmtId="3" fontId="10" fillId="0" borderId="9" xfId="19" applyNumberFormat="1" applyFont="1" applyBorder="1" applyAlignment="1">
      <alignment horizontal="center"/>
    </xf>
    <xf numFmtId="3" fontId="10" fillId="0" borderId="9" xfId="19" applyNumberFormat="1" applyFont="1" applyBorder="1"/>
    <xf numFmtId="0" fontId="10" fillId="0" borderId="30" xfId="19" applyFont="1" applyBorder="1"/>
    <xf numFmtId="0" fontId="10" fillId="0" borderId="29" xfId="19" applyFont="1" applyBorder="1"/>
    <xf numFmtId="0" fontId="10" fillId="0" borderId="0" xfId="19" applyFont="1"/>
    <xf numFmtId="0" fontId="18" fillId="0" borderId="0" xfId="19" applyFont="1" applyAlignment="1">
      <alignment horizontal="center"/>
    </xf>
    <xf numFmtId="4" fontId="10" fillId="0" borderId="33" xfId="19" applyNumberFormat="1" applyFont="1" applyBorder="1"/>
    <xf numFmtId="3" fontId="10" fillId="0" borderId="1" xfId="19" applyNumberFormat="1" applyFont="1" applyBorder="1" applyAlignment="1">
      <alignment horizontal="center"/>
    </xf>
    <xf numFmtId="4" fontId="10" fillId="0" borderId="1" xfId="19" applyNumberFormat="1" applyFont="1" applyBorder="1"/>
    <xf numFmtId="4" fontId="10" fillId="0" borderId="2" xfId="0" applyNumberFormat="1" applyFont="1" applyBorder="1"/>
    <xf numFmtId="4" fontId="10" fillId="0" borderId="1" xfId="0" applyNumberFormat="1" applyFont="1" applyBorder="1" applyAlignment="1">
      <alignment horizontal="center"/>
    </xf>
    <xf numFmtId="4" fontId="10" fillId="0" borderId="1" xfId="0" applyNumberFormat="1" applyFont="1" applyBorder="1"/>
    <xf numFmtId="2" fontId="10" fillId="0" borderId="1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4" fontId="10" fillId="0" borderId="48" xfId="0" applyNumberFormat="1" applyFont="1" applyBorder="1" applyAlignment="1">
      <alignment vertical="center"/>
    </xf>
    <xf numFmtId="4" fontId="10" fillId="0" borderId="2" xfId="19" applyNumberFormat="1" applyFont="1" applyBorder="1" applyAlignment="1">
      <alignment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164" fontId="13" fillId="0" borderId="0" xfId="16" applyFont="1" applyFill="1" applyBorder="1" applyAlignment="1">
      <alignment vertical="center"/>
    </xf>
    <xf numFmtId="164" fontId="0" fillId="0" borderId="0" xfId="16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0" fillId="0" borderId="54" xfId="0" applyBorder="1"/>
    <xf numFmtId="0" fontId="0" fillId="0" borderId="55" xfId="0" applyBorder="1"/>
    <xf numFmtId="0" fontId="0" fillId="0" borderId="60" xfId="0" applyBorder="1"/>
    <xf numFmtId="0" fontId="0" fillId="0" borderId="61" xfId="0" applyBorder="1"/>
    <xf numFmtId="0" fontId="6" fillId="5" borderId="33" xfId="0" applyFont="1" applyFill="1" applyBorder="1" applyAlignment="1">
      <alignment horizontal="center"/>
    </xf>
    <xf numFmtId="164" fontId="0" fillId="5" borderId="33" xfId="0" applyNumberFormat="1" applyFont="1" applyFill="1" applyBorder="1" applyAlignment="1">
      <alignment horizontal="center"/>
    </xf>
    <xf numFmtId="3" fontId="10" fillId="0" borderId="1" xfId="19" applyNumberFormat="1" applyFont="1" applyBorder="1" applyAlignment="1">
      <alignment horizontal="center" vertical="center"/>
    </xf>
    <xf numFmtId="4" fontId="10" fillId="0" borderId="1" xfId="19" applyNumberFormat="1" applyFont="1" applyBorder="1" applyAlignment="1">
      <alignment horizontal="center" vertical="center"/>
    </xf>
    <xf numFmtId="0" fontId="10" fillId="0" borderId="46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2" fontId="10" fillId="0" borderId="9" xfId="0" applyNumberFormat="1" applyFont="1" applyBorder="1" applyAlignment="1">
      <alignment horizontal="center" vertical="center"/>
    </xf>
    <xf numFmtId="4" fontId="10" fillId="0" borderId="9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 vertical="center"/>
    </xf>
    <xf numFmtId="4" fontId="10" fillId="0" borderId="9" xfId="0" applyNumberFormat="1" applyFont="1" applyBorder="1"/>
    <xf numFmtId="4" fontId="10" fillId="0" borderId="1" xfId="19" applyNumberFormat="1" applyFont="1" applyBorder="1" applyAlignment="1">
      <alignment horizontal="center"/>
    </xf>
    <xf numFmtId="179" fontId="10" fillId="0" borderId="38" xfId="0" applyNumberFormat="1" applyFont="1" applyBorder="1" applyAlignment="1">
      <alignment vertical="center"/>
    </xf>
    <xf numFmtId="179" fontId="10" fillId="0" borderId="1" xfId="0" applyNumberFormat="1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0" fillId="0" borderId="30" xfId="0" applyBorder="1"/>
    <xf numFmtId="0" fontId="12" fillId="0" borderId="29" xfId="0" applyFont="1" applyBorder="1"/>
    <xf numFmtId="0" fontId="24" fillId="0" borderId="0" xfId="14" applyFont="1" applyFill="1" applyAlignment="1">
      <alignment horizontal="center"/>
    </xf>
    <xf numFmtId="0" fontId="24" fillId="0" borderId="0" xfId="14" applyFont="1" applyFill="1"/>
    <xf numFmtId="0" fontId="24" fillId="0" borderId="0" xfId="14" applyFont="1" applyFill="1" applyAlignment="1">
      <alignment horizontal="center" vertical="center"/>
    </xf>
    <xf numFmtId="172" fontId="24" fillId="0" borderId="0" xfId="15" applyNumberFormat="1" applyFont="1" applyFill="1" applyAlignment="1"/>
    <xf numFmtId="0" fontId="29" fillId="0" borderId="33" xfId="14" applyFont="1" applyFill="1" applyBorder="1" applyAlignment="1">
      <alignment horizontal="center" vertical="center"/>
    </xf>
    <xf numFmtId="173" fontId="29" fillId="0" borderId="33" xfId="15" applyNumberFormat="1" applyFont="1" applyFill="1" applyBorder="1" applyAlignment="1">
      <alignment horizontal="center" vertical="center"/>
    </xf>
    <xf numFmtId="4" fontId="10" fillId="0" borderId="44" xfId="0" quotePrefix="1" applyNumberFormat="1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4" fontId="10" fillId="0" borderId="5" xfId="17" applyNumberFormat="1" applyFont="1" applyBorder="1" applyAlignment="1">
      <alignment vertical="center"/>
    </xf>
    <xf numFmtId="9" fontId="10" fillId="0" borderId="5" xfId="2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44" xfId="0" applyFont="1" applyBorder="1" applyAlignment="1">
      <alignment horizontal="center" vertical="center"/>
    </xf>
    <xf numFmtId="4" fontId="10" fillId="0" borderId="9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23" fillId="0" borderId="38" xfId="19" applyNumberFormat="1" applyFont="1" applyBorder="1" applyAlignment="1">
      <alignment vertical="center"/>
    </xf>
    <xf numFmtId="0" fontId="18" fillId="0" borderId="0" xfId="0" quotePrefix="1" applyFont="1" applyFill="1" applyAlignment="1">
      <alignment horizontal="left" vertical="center"/>
    </xf>
    <xf numFmtId="164" fontId="10" fillId="0" borderId="12" xfId="0" applyNumberFormat="1" applyFont="1" applyBorder="1" applyAlignment="1">
      <alignment horizontal="center" vertical="center"/>
    </xf>
    <xf numFmtId="2" fontId="10" fillId="0" borderId="16" xfId="16" quotePrefix="1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64" fontId="10" fillId="0" borderId="42" xfId="0" applyNumberFormat="1" applyFont="1" applyBorder="1" applyAlignment="1">
      <alignment horizontal="center" vertical="center"/>
    </xf>
    <xf numFmtId="4" fontId="23" fillId="0" borderId="39" xfId="0" applyNumberFormat="1" applyFont="1" applyBorder="1" applyAlignment="1">
      <alignment vertical="center"/>
    </xf>
    <xf numFmtId="0" fontId="29" fillId="0" borderId="0" xfId="14" applyFont="1" applyFill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0" fillId="0" borderId="54" xfId="0" applyFill="1" applyBorder="1" applyAlignment="1">
      <alignment horizontal="center"/>
    </xf>
    <xf numFmtId="164" fontId="10" fillId="0" borderId="49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179" fontId="10" fillId="0" borderId="44" xfId="0" applyNumberFormat="1" applyFont="1" applyBorder="1" applyAlignment="1">
      <alignment horizontal="center" vertical="center"/>
    </xf>
    <xf numFmtId="179" fontId="10" fillId="0" borderId="10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64" fontId="10" fillId="0" borderId="47" xfId="0" applyNumberFormat="1" applyFont="1" applyBorder="1" applyAlignment="1">
      <alignment horizontal="center" vertical="center"/>
    </xf>
    <xf numFmtId="3" fontId="10" fillId="3" borderId="9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10" fillId="0" borderId="8" xfId="0" applyFont="1" applyBorder="1" applyAlignment="1">
      <alignment vertical="center"/>
    </xf>
    <xf numFmtId="4" fontId="10" fillId="0" borderId="47" xfId="0" applyNumberFormat="1" applyFont="1" applyBorder="1" applyAlignment="1">
      <alignment vertical="center"/>
    </xf>
    <xf numFmtId="4" fontId="10" fillId="0" borderId="64" xfId="0" applyNumberFormat="1" applyFont="1" applyBorder="1" applyAlignment="1">
      <alignment vertical="center"/>
    </xf>
    <xf numFmtId="4" fontId="10" fillId="0" borderId="65" xfId="0" applyNumberFormat="1" applyFont="1" applyBorder="1" applyAlignment="1">
      <alignment vertical="center"/>
    </xf>
    <xf numFmtId="4" fontId="10" fillId="0" borderId="1" xfId="0" applyNumberFormat="1" applyFont="1" applyBorder="1" applyAlignment="1">
      <alignment horizontal="right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4" fontId="10" fillId="0" borderId="42" xfId="19" applyNumberFormat="1" applyFont="1" applyBorder="1" applyAlignment="1">
      <alignment vertical="center"/>
    </xf>
    <xf numFmtId="3" fontId="23" fillId="0" borderId="38" xfId="19" applyNumberFormat="1" applyFont="1" applyBorder="1" applyAlignment="1">
      <alignment horizontal="center"/>
    </xf>
    <xf numFmtId="3" fontId="10" fillId="0" borderId="38" xfId="19" applyNumberFormat="1" applyFont="1" applyBorder="1"/>
    <xf numFmtId="4" fontId="23" fillId="0" borderId="38" xfId="19" applyNumberFormat="1" applyFont="1" applyBorder="1"/>
    <xf numFmtId="4" fontId="10" fillId="0" borderId="48" xfId="19" applyNumberFormat="1" applyFont="1" applyBorder="1"/>
    <xf numFmtId="3" fontId="10" fillId="0" borderId="2" xfId="0" applyNumberFormat="1" applyFont="1" applyBorder="1" applyAlignment="1">
      <alignment horizontal="right" vertical="center"/>
    </xf>
    <xf numFmtId="3" fontId="10" fillId="0" borderId="13" xfId="0" applyNumberFormat="1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3" fontId="10" fillId="0" borderId="1" xfId="19" applyNumberFormat="1" applyFont="1" applyFill="1" applyBorder="1" applyAlignment="1">
      <alignment horizontal="center" vertical="center"/>
    </xf>
    <xf numFmtId="182" fontId="10" fillId="0" borderId="38" xfId="0" applyNumberFormat="1" applyFont="1" applyBorder="1" applyAlignment="1">
      <alignment horizontal="center" vertical="center"/>
    </xf>
    <xf numFmtId="0" fontId="18" fillId="0" borderId="0" xfId="0" quotePrefix="1" applyFont="1" applyAlignment="1">
      <alignment vertical="center"/>
    </xf>
    <xf numFmtId="0" fontId="10" fillId="0" borderId="41" xfId="0" applyFont="1" applyBorder="1" applyAlignment="1">
      <alignment vertical="center"/>
    </xf>
    <xf numFmtId="4" fontId="10" fillId="0" borderId="42" xfId="0" applyNumberFormat="1" applyFont="1" applyBorder="1"/>
    <xf numFmtId="4" fontId="10" fillId="0" borderId="48" xfId="0" applyNumberFormat="1" applyFont="1" applyBorder="1"/>
    <xf numFmtId="0" fontId="10" fillId="0" borderId="27" xfId="19" applyFont="1" applyBorder="1" applyAlignment="1">
      <alignment vertical="center" wrapText="1"/>
    </xf>
    <xf numFmtId="0" fontId="10" fillId="0" borderId="3" xfId="19" applyFont="1" applyBorder="1" applyAlignment="1">
      <alignment vertical="center" wrapText="1"/>
    </xf>
    <xf numFmtId="0" fontId="10" fillId="0" borderId="4" xfId="19" applyFont="1" applyBorder="1" applyAlignment="1">
      <alignment vertical="center" wrapText="1"/>
    </xf>
    <xf numFmtId="0" fontId="10" fillId="0" borderId="27" xfId="19" applyFont="1" applyBorder="1" applyAlignment="1"/>
    <xf numFmtId="0" fontId="10" fillId="0" borderId="3" xfId="19" applyFont="1" applyBorder="1" applyAlignment="1"/>
    <xf numFmtId="0" fontId="10" fillId="0" borderId="4" xfId="19" applyFont="1" applyBorder="1" applyAlignment="1"/>
    <xf numFmtId="0" fontId="10" fillId="0" borderId="17" xfId="19" applyFont="1" applyBorder="1" applyAlignment="1"/>
    <xf numFmtId="0" fontId="10" fillId="0" borderId="18" xfId="19" applyFont="1" applyBorder="1" applyAlignment="1"/>
    <xf numFmtId="0" fontId="10" fillId="0" borderId="22" xfId="19" applyFont="1" applyBorder="1" applyAlignment="1"/>
    <xf numFmtId="3" fontId="23" fillId="0" borderId="66" xfId="19" applyNumberFormat="1" applyFont="1" applyBorder="1" applyAlignment="1">
      <alignment horizontal="center"/>
    </xf>
    <xf numFmtId="3" fontId="10" fillId="0" borderId="66" xfId="19" applyNumberFormat="1" applyFont="1" applyBorder="1"/>
    <xf numFmtId="4" fontId="23" fillId="0" borderId="66" xfId="19" applyNumberFormat="1" applyFont="1" applyBorder="1"/>
    <xf numFmtId="4" fontId="10" fillId="0" borderId="65" xfId="19" applyNumberFormat="1" applyFont="1" applyBorder="1"/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182" fontId="10" fillId="3" borderId="1" xfId="0" applyNumberFormat="1" applyFont="1" applyFill="1" applyBorder="1" applyAlignment="1">
      <alignment vertical="center"/>
    </xf>
    <xf numFmtId="3" fontId="10" fillId="0" borderId="27" xfId="0" applyNumberFormat="1" applyFont="1" applyBorder="1" applyAlignment="1">
      <alignment horizontal="center" vertical="center"/>
    </xf>
    <xf numFmtId="3" fontId="10" fillId="0" borderId="42" xfId="0" applyNumberFormat="1" applyFont="1" applyBorder="1" applyAlignment="1">
      <alignment horizontal="right" vertical="center"/>
    </xf>
    <xf numFmtId="0" fontId="0" fillId="0" borderId="27" xfId="0" applyBorder="1"/>
    <xf numFmtId="0" fontId="0" fillId="0" borderId="42" xfId="0" applyBorder="1"/>
    <xf numFmtId="3" fontId="10" fillId="0" borderId="2" xfId="0" applyNumberFormat="1" applyFont="1" applyBorder="1" applyAlignment="1">
      <alignment horizontal="left" vertical="center"/>
    </xf>
    <xf numFmtId="0" fontId="10" fillId="0" borderId="44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20" xfId="0" applyFont="1" applyBorder="1" applyAlignment="1">
      <alignment vertical="center"/>
    </xf>
    <xf numFmtId="0" fontId="10" fillId="0" borderId="49" xfId="0" applyFont="1" applyBorder="1" applyAlignment="1">
      <alignment vertical="center"/>
    </xf>
    <xf numFmtId="3" fontId="10" fillId="0" borderId="66" xfId="0" applyNumberFormat="1" applyFont="1" applyBorder="1" applyAlignment="1">
      <alignment horizontal="center" vertical="center"/>
    </xf>
    <xf numFmtId="3" fontId="10" fillId="0" borderId="66" xfId="0" applyNumberFormat="1" applyFont="1" applyBorder="1" applyAlignment="1">
      <alignment vertical="center"/>
    </xf>
    <xf numFmtId="179" fontId="10" fillId="0" borderId="66" xfId="0" applyNumberFormat="1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right" vertical="center"/>
    </xf>
    <xf numFmtId="3" fontId="10" fillId="0" borderId="9" xfId="0" applyNumberFormat="1" applyFont="1" applyBorder="1" applyAlignment="1">
      <alignment horizontal="right" vertical="center"/>
    </xf>
    <xf numFmtId="182" fontId="10" fillId="0" borderId="2" xfId="0" applyNumberFormat="1" applyFont="1" applyBorder="1" applyAlignment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6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4" fontId="10" fillId="0" borderId="0" xfId="0" applyNumberFormat="1" applyFont="1" applyBorder="1" applyAlignment="1">
      <alignment vertical="center"/>
    </xf>
    <xf numFmtId="184" fontId="10" fillId="0" borderId="1" xfId="0" applyNumberFormat="1" applyFont="1" applyBorder="1" applyAlignment="1">
      <alignment vertical="center"/>
    </xf>
    <xf numFmtId="4" fontId="10" fillId="0" borderId="1" xfId="19" applyNumberFormat="1" applyFont="1" applyBorder="1" applyAlignment="1">
      <alignment horizontal="right"/>
    </xf>
    <xf numFmtId="164" fontId="12" fillId="0" borderId="0" xfId="16" applyFont="1" applyFill="1" applyBorder="1"/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3" fontId="10" fillId="3" borderId="38" xfId="0" applyNumberFormat="1" applyFont="1" applyFill="1" applyBorder="1" applyAlignment="1">
      <alignment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3" fontId="10" fillId="0" borderId="1" xfId="19" applyNumberFormat="1" applyFont="1" applyBorder="1" applyAlignment="1">
      <alignment horizontal="right"/>
    </xf>
    <xf numFmtId="182" fontId="10" fillId="0" borderId="1" xfId="19" applyNumberFormat="1" applyFont="1" applyBorder="1" applyAlignment="1">
      <alignment horizontal="right"/>
    </xf>
    <xf numFmtId="3" fontId="10" fillId="0" borderId="2" xfId="19" applyNumberFormat="1" applyFont="1" applyBorder="1"/>
    <xf numFmtId="0" fontId="24" fillId="0" borderId="54" xfId="14" applyFont="1" applyFill="1" applyBorder="1" applyAlignment="1">
      <alignment horizontal="center"/>
    </xf>
    <xf numFmtId="0" fontId="24" fillId="0" borderId="54" xfId="14" applyFont="1" applyFill="1" applyBorder="1" applyAlignment="1">
      <alignment horizontal="center" vertical="center"/>
    </xf>
    <xf numFmtId="176" fontId="29" fillId="0" borderId="54" xfId="14" applyNumberFormat="1" applyFont="1" applyFill="1" applyBorder="1" applyAlignment="1">
      <alignment horizontal="center"/>
    </xf>
    <xf numFmtId="0" fontId="29" fillId="0" borderId="54" xfId="14" applyFont="1" applyFill="1" applyBorder="1" applyAlignment="1">
      <alignment horizontal="center"/>
    </xf>
    <xf numFmtId="176" fontId="29" fillId="0" borderId="54" xfId="14" applyNumberFormat="1" applyFont="1" applyFill="1" applyBorder="1" applyAlignment="1">
      <alignment horizontal="center" vertical="center"/>
    </xf>
    <xf numFmtId="0" fontId="24" fillId="0" borderId="54" xfId="0" applyFont="1" applyFill="1" applyBorder="1" applyAlignment="1">
      <alignment horizontal="center"/>
    </xf>
    <xf numFmtId="0" fontId="29" fillId="0" borderId="54" xfId="14" applyFont="1" applyFill="1" applyBorder="1"/>
    <xf numFmtId="0" fontId="31" fillId="0" borderId="54" xfId="18" applyFont="1" applyFill="1" applyBorder="1"/>
    <xf numFmtId="0" fontId="29" fillId="0" borderId="54" xfId="14" applyFont="1" applyFill="1" applyBorder="1" applyAlignment="1">
      <alignment wrapText="1"/>
    </xf>
    <xf numFmtId="0" fontId="29" fillId="0" borderId="54" xfId="14" applyFont="1" applyFill="1" applyBorder="1" applyAlignment="1">
      <alignment horizontal="left" wrapText="1"/>
    </xf>
    <xf numFmtId="0" fontId="29" fillId="0" borderId="54" xfId="14" applyFont="1" applyFill="1" applyBorder="1" applyAlignment="1">
      <alignment horizontal="left"/>
    </xf>
    <xf numFmtId="0" fontId="29" fillId="0" borderId="54" xfId="14" applyFont="1" applyFill="1" applyBorder="1" applyAlignment="1">
      <alignment vertical="center" wrapText="1"/>
    </xf>
    <xf numFmtId="0" fontId="29" fillId="0" borderId="54" xfId="14" applyFont="1" applyFill="1" applyBorder="1" applyAlignment="1">
      <alignment horizontal="center" vertical="center" wrapText="1"/>
    </xf>
    <xf numFmtId="174" fontId="24" fillId="0" borderId="54" xfId="14" applyNumberFormat="1" applyFont="1" applyFill="1" applyBorder="1" applyAlignment="1">
      <alignment horizontal="center"/>
    </xf>
    <xf numFmtId="174" fontId="24" fillId="0" borderId="54" xfId="14" applyNumberFormat="1" applyFont="1" applyFill="1" applyBorder="1" applyAlignment="1">
      <alignment horizontal="center" vertical="center"/>
    </xf>
    <xf numFmtId="172" fontId="24" fillId="0" borderId="54" xfId="15" applyNumberFormat="1" applyFont="1" applyFill="1" applyBorder="1" applyAlignment="1"/>
    <xf numFmtId="0" fontId="2" fillId="0" borderId="54" xfId="0" applyFont="1" applyFill="1" applyBorder="1" applyAlignment="1">
      <alignment vertical="center"/>
    </xf>
    <xf numFmtId="0" fontId="2" fillId="0" borderId="54" xfId="0" applyNumberFormat="1" applyFont="1" applyFill="1" applyBorder="1" applyAlignment="1"/>
    <xf numFmtId="0" fontId="2" fillId="0" borderId="54" xfId="0" applyFont="1" applyFill="1" applyBorder="1" applyAlignment="1">
      <alignment vertical="center" wrapText="1"/>
    </xf>
    <xf numFmtId="0" fontId="2" fillId="0" borderId="54" xfId="0" applyNumberFormat="1" applyFont="1" applyFill="1" applyBorder="1" applyAlignment="1">
      <alignment horizontal="center"/>
    </xf>
    <xf numFmtId="0" fontId="2" fillId="0" borderId="54" xfId="0" applyFont="1" applyFill="1" applyBorder="1" applyAlignment="1">
      <alignment horizontal="center" vertical="center"/>
    </xf>
    <xf numFmtId="164" fontId="2" fillId="0" borderId="54" xfId="16" applyFont="1" applyFill="1" applyBorder="1" applyAlignment="1">
      <alignment vertical="center"/>
    </xf>
    <xf numFmtId="164" fontId="2" fillId="0" borderId="54" xfId="16" applyFont="1" applyFill="1" applyBorder="1"/>
    <xf numFmtId="165" fontId="0" fillId="0" borderId="0" xfId="0" applyNumberFormat="1" applyFill="1" applyBorder="1"/>
    <xf numFmtId="0" fontId="2" fillId="0" borderId="54" xfId="0" applyFont="1" applyFill="1" applyBorder="1"/>
    <xf numFmtId="177" fontId="2" fillId="0" borderId="54" xfId="1" applyNumberFormat="1" applyFont="1" applyFill="1" applyBorder="1" applyAlignment="1">
      <alignment horizontal="left" wrapText="1"/>
    </xf>
    <xf numFmtId="177" fontId="2" fillId="0" borderId="54" xfId="1" applyNumberFormat="1" applyFont="1" applyFill="1" applyBorder="1" applyAlignment="1">
      <alignment horizontal="left"/>
    </xf>
    <xf numFmtId="177" fontId="2" fillId="0" borderId="54" xfId="1" applyNumberFormat="1" applyFont="1" applyFill="1" applyBorder="1" applyAlignment="1">
      <alignment wrapText="1"/>
    </xf>
    <xf numFmtId="0" fontId="2" fillId="0" borderId="54" xfId="0" applyFont="1" applyFill="1" applyBorder="1" applyAlignment="1">
      <alignment horizontal="center"/>
    </xf>
    <xf numFmtId="164" fontId="2" fillId="0" borderId="54" xfId="16" applyFont="1" applyFill="1" applyBorder="1" applyAlignment="1"/>
    <xf numFmtId="164" fontId="2" fillId="0" borderId="54" xfId="16" applyFont="1" applyFill="1" applyBorder="1" applyAlignment="1">
      <alignment horizontal="right"/>
    </xf>
    <xf numFmtId="164" fontId="26" fillId="0" borderId="54" xfId="16" applyFont="1" applyFill="1" applyBorder="1"/>
    <xf numFmtId="164" fontId="17" fillId="0" borderId="54" xfId="16" applyFont="1" applyFill="1" applyBorder="1"/>
    <xf numFmtId="164" fontId="2" fillId="0" borderId="54" xfId="16" applyFont="1" applyFill="1" applyBorder="1" applyAlignment="1">
      <alignment vertical="center" wrapText="1"/>
    </xf>
    <xf numFmtId="164" fontId="24" fillId="0" borderId="54" xfId="16" applyFont="1" applyFill="1" applyBorder="1"/>
    <xf numFmtId="0" fontId="12" fillId="0" borderId="54" xfId="0" applyFont="1" applyFill="1" applyBorder="1"/>
    <xf numFmtId="176" fontId="10" fillId="0" borderId="49" xfId="0" applyNumberFormat="1" applyFont="1" applyBorder="1" applyAlignment="1">
      <alignment horizontal="right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29" fillId="0" borderId="0" xfId="14" applyFont="1" applyFill="1" applyAlignment="1">
      <alignment horizontal="center"/>
    </xf>
    <xf numFmtId="0" fontId="24" fillId="0" borderId="0" xfId="0" applyFont="1" applyFill="1"/>
    <xf numFmtId="176" fontId="29" fillId="0" borderId="67" xfId="14" applyNumberFormat="1" applyFont="1" applyFill="1" applyBorder="1" applyAlignment="1">
      <alignment horizontal="center"/>
    </xf>
    <xf numFmtId="0" fontId="29" fillId="0" borderId="24" xfId="14" applyFont="1" applyFill="1" applyBorder="1" applyAlignment="1">
      <alignment horizontal="left"/>
    </xf>
    <xf numFmtId="0" fontId="24" fillId="0" borderId="33" xfId="14" applyFont="1" applyFill="1" applyBorder="1" applyAlignment="1">
      <alignment horizontal="center" vertical="center"/>
    </xf>
    <xf numFmtId="172" fontId="24" fillId="0" borderId="33" xfId="15" applyNumberFormat="1" applyFont="1" applyFill="1" applyBorder="1" applyAlignment="1"/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72" fontId="29" fillId="0" borderId="33" xfId="15" applyNumberFormat="1" applyFont="1" applyFill="1" applyBorder="1" applyAlignment="1">
      <alignment horizontal="center" vertical="center"/>
    </xf>
    <xf numFmtId="0" fontId="28" fillId="6" borderId="54" xfId="0" applyFont="1" applyFill="1" applyBorder="1" applyAlignment="1">
      <alignment horizontal="center"/>
    </xf>
    <xf numFmtId="0" fontId="8" fillId="6" borderId="54" xfId="0" applyNumberFormat="1" applyFont="1" applyFill="1" applyBorder="1" applyAlignment="1"/>
    <xf numFmtId="0" fontId="2" fillId="6" borderId="54" xfId="0" applyNumberFormat="1" applyFont="1" applyFill="1" applyBorder="1" applyAlignment="1">
      <alignment horizontal="center"/>
    </xf>
    <xf numFmtId="164" fontId="2" fillId="6" borderId="54" xfId="16" applyNumberFormat="1" applyFont="1" applyFill="1" applyBorder="1" applyAlignment="1"/>
    <xf numFmtId="164" fontId="29" fillId="6" borderId="54" xfId="16" applyFont="1" applyFill="1" applyBorder="1" applyAlignment="1">
      <alignment horizontal="center"/>
    </xf>
    <xf numFmtId="0" fontId="24" fillId="6" borderId="54" xfId="0" applyFont="1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177" fontId="2" fillId="6" borderId="54" xfId="1" applyNumberFormat="1" applyFont="1" applyFill="1" applyBorder="1" applyAlignment="1">
      <alignment wrapText="1"/>
    </xf>
    <xf numFmtId="0" fontId="2" fillId="6" borderId="54" xfId="0" applyFont="1" applyFill="1" applyBorder="1" applyAlignment="1">
      <alignment horizontal="center"/>
    </xf>
    <xf numFmtId="164" fontId="2" fillId="6" borderId="54" xfId="16" applyFont="1" applyFill="1" applyBorder="1" applyAlignment="1">
      <alignment horizontal="right"/>
    </xf>
    <xf numFmtId="164" fontId="24" fillId="0" borderId="54" xfId="16" applyFont="1" applyFill="1" applyBorder="1" applyAlignment="1">
      <alignment horizontal="center"/>
    </xf>
    <xf numFmtId="0" fontId="8" fillId="6" borderId="54" xfId="0" applyFont="1" applyFill="1" applyBorder="1"/>
    <xf numFmtId="164" fontId="2" fillId="6" borderId="54" xfId="16" applyFont="1" applyFill="1" applyBorder="1"/>
    <xf numFmtId="177" fontId="2" fillId="3" borderId="54" xfId="1" applyNumberFormat="1" applyFont="1" applyFill="1" applyBorder="1" applyAlignment="1">
      <alignment wrapText="1"/>
    </xf>
    <xf numFmtId="0" fontId="2" fillId="3" borderId="54" xfId="0" applyFont="1" applyFill="1" applyBorder="1" applyAlignment="1">
      <alignment horizontal="center"/>
    </xf>
    <xf numFmtId="164" fontId="2" fillId="3" borderId="54" xfId="16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/>
    <xf numFmtId="0" fontId="37" fillId="7" borderId="1" xfId="0" applyFont="1" applyFill="1" applyBorder="1" applyAlignment="1">
      <alignment horizontal="center"/>
    </xf>
    <xf numFmtId="10" fontId="36" fillId="0" borderId="0" xfId="0" applyNumberFormat="1" applyFont="1" applyAlignment="1">
      <alignment horizontal="center"/>
    </xf>
    <xf numFmtId="10" fontId="36" fillId="0" borderId="0" xfId="0" applyNumberFormat="1" applyFont="1"/>
    <xf numFmtId="9" fontId="24" fillId="0" borderId="1" xfId="0" applyNumberFormat="1" applyFont="1" applyBorder="1" applyAlignment="1">
      <alignment horizontal="center"/>
    </xf>
    <xf numFmtId="186" fontId="24" fillId="0" borderId="1" xfId="0" applyNumberFormat="1" applyFont="1" applyBorder="1"/>
    <xf numFmtId="164" fontId="0" fillId="0" borderId="0" xfId="0" applyNumberFormat="1" applyFill="1" applyBorder="1"/>
    <xf numFmtId="0" fontId="6" fillId="0" borderId="0" xfId="0" applyFont="1" applyFill="1" applyBorder="1" applyAlignment="1">
      <alignment horizontal="center"/>
    </xf>
    <xf numFmtId="164" fontId="25" fillId="0" borderId="0" xfId="16" applyFont="1" applyFill="1" applyBorder="1"/>
    <xf numFmtId="164" fontId="6" fillId="0" borderId="0" xfId="0" applyNumberFormat="1" applyFont="1" applyFill="1" applyBorder="1"/>
    <xf numFmtId="0" fontId="27" fillId="0" borderId="0" xfId="0" applyFont="1" applyFill="1" applyBorder="1"/>
    <xf numFmtId="164" fontId="27" fillId="0" borderId="0" xfId="16" applyFont="1" applyFill="1" applyBorder="1"/>
    <xf numFmtId="164" fontId="27" fillId="0" borderId="0" xfId="0" applyNumberFormat="1" applyFont="1" applyFill="1" applyBorder="1"/>
    <xf numFmtId="165" fontId="27" fillId="0" borderId="0" xfId="0" applyNumberFormat="1" applyFont="1" applyFill="1" applyBorder="1"/>
    <xf numFmtId="164" fontId="6" fillId="0" borderId="0" xfId="16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183" fontId="0" fillId="0" borderId="0" xfId="0" applyNumberFormat="1" applyFill="1" applyBorder="1"/>
    <xf numFmtId="0" fontId="6" fillId="0" borderId="0" xfId="0" applyFont="1" applyFill="1" applyBorder="1"/>
    <xf numFmtId="0" fontId="0" fillId="0" borderId="0" xfId="0" applyFill="1" applyBorder="1" applyAlignment="1"/>
    <xf numFmtId="10" fontId="21" fillId="0" borderId="0" xfId="0" applyNumberFormat="1" applyFont="1" applyFill="1" applyBorder="1" applyAlignment="1">
      <alignment vertical="center" wrapText="1"/>
    </xf>
    <xf numFmtId="0" fontId="24" fillId="0" borderId="1" xfId="0" applyFont="1" applyBorder="1" applyAlignment="1">
      <alignment horizontal="center"/>
    </xf>
    <xf numFmtId="176" fontId="24" fillId="0" borderId="1" xfId="0" applyNumberFormat="1" applyFont="1" applyBorder="1" applyAlignment="1">
      <alignment horizontal="center"/>
    </xf>
    <xf numFmtId="0" fontId="40" fillId="0" borderId="54" xfId="0" applyFont="1" applyFill="1" applyBorder="1" applyAlignment="1">
      <alignment horizontal="center"/>
    </xf>
    <xf numFmtId="0" fontId="40" fillId="0" borderId="0" xfId="0" applyFont="1" applyFill="1"/>
    <xf numFmtId="0" fontId="29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165" fontId="24" fillId="0" borderId="0" xfId="1" applyFont="1"/>
    <xf numFmtId="0" fontId="0" fillId="0" borderId="0" xfId="0" applyFont="1" applyAlignment="1">
      <alignment horizontal="center"/>
    </xf>
    <xf numFmtId="0" fontId="24" fillId="0" borderId="0" xfId="0" applyFont="1" applyFill="1" applyAlignment="1">
      <alignment horizontal="center"/>
    </xf>
    <xf numFmtId="185" fontId="24" fillId="0" borderId="0" xfId="0" applyNumberFormat="1" applyFont="1" applyFill="1"/>
    <xf numFmtId="0" fontId="29" fillId="0" borderId="1" xfId="0" applyFont="1" applyBorder="1"/>
    <xf numFmtId="186" fontId="43" fillId="0" borderId="1" xfId="1" applyNumberFormat="1" applyFont="1" applyFill="1" applyBorder="1" applyAlignment="1">
      <alignment horizontal="center"/>
    </xf>
    <xf numFmtId="186" fontId="29" fillId="0" borderId="0" xfId="0" applyNumberFormat="1" applyFont="1" applyBorder="1"/>
    <xf numFmtId="43" fontId="29" fillId="0" borderId="0" xfId="0" applyNumberFormat="1" applyFont="1" applyBorder="1"/>
    <xf numFmtId="186" fontId="43" fillId="0" borderId="1" xfId="0" applyNumberFormat="1" applyFont="1" applyBorder="1" applyAlignment="1">
      <alignment horizontal="center"/>
    </xf>
    <xf numFmtId="43" fontId="24" fillId="0" borderId="0" xfId="0" applyNumberFormat="1" applyFont="1" applyFill="1"/>
    <xf numFmtId="187" fontId="24" fillId="0" borderId="0" xfId="16" applyNumberFormat="1" applyFont="1"/>
    <xf numFmtId="0" fontId="29" fillId="0" borderId="0" xfId="0" applyFont="1" applyAlignment="1">
      <alignment horizontal="center"/>
    </xf>
    <xf numFmtId="0" fontId="44" fillId="7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4" fillId="0" borderId="1" xfId="0" applyFont="1" applyBorder="1"/>
    <xf numFmtId="176" fontId="0" fillId="0" borderId="1" xfId="0" applyNumberFormat="1" applyFont="1" applyBorder="1" applyAlignment="1">
      <alignment horizontal="center"/>
    </xf>
    <xf numFmtId="9" fontId="0" fillId="0" borderId="1" xfId="0" applyNumberFormat="1" applyFont="1" applyBorder="1" applyAlignment="1">
      <alignment horizontal="center"/>
    </xf>
    <xf numFmtId="186" fontId="0" fillId="0" borderId="1" xfId="0" applyNumberFormat="1" applyFont="1" applyBorder="1" applyAlignment="1">
      <alignment horizontal="center"/>
    </xf>
    <xf numFmtId="0" fontId="29" fillId="6" borderId="2" xfId="0" applyFont="1" applyFill="1" applyBorder="1" applyAlignment="1"/>
    <xf numFmtId="0" fontId="29" fillId="6" borderId="4" xfId="0" applyFont="1" applyFill="1" applyBorder="1" applyAlignment="1">
      <alignment horizontal="center"/>
    </xf>
    <xf numFmtId="0" fontId="29" fillId="6" borderId="1" xfId="0" applyFont="1" applyFill="1" applyBorder="1" applyAlignment="1"/>
    <xf numFmtId="0" fontId="29" fillId="6" borderId="1" xfId="0" applyFont="1" applyFill="1" applyBorder="1" applyAlignment="1">
      <alignment horizontal="center"/>
    </xf>
    <xf numFmtId="0" fontId="24" fillId="6" borderId="1" xfId="0" applyFont="1" applyFill="1" applyBorder="1"/>
    <xf numFmtId="0" fontId="0" fillId="0" borderId="1" xfId="0" applyFont="1" applyBorder="1" applyAlignment="1">
      <alignment horizontal="center"/>
    </xf>
    <xf numFmtId="186" fontId="24" fillId="0" borderId="1" xfId="1" applyNumberFormat="1" applyFont="1" applyFill="1" applyBorder="1"/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/>
    <xf numFmtId="186" fontId="0" fillId="0" borderId="1" xfId="0" applyNumberFormat="1" applyFont="1" applyBorder="1"/>
    <xf numFmtId="186" fontId="29" fillId="0" borderId="1" xfId="1" applyNumberFormat="1" applyFont="1" applyFill="1" applyBorder="1"/>
    <xf numFmtId="165" fontId="24" fillId="0" borderId="1" xfId="1" applyFont="1" applyBorder="1" applyAlignment="1">
      <alignment horizontal="center"/>
    </xf>
    <xf numFmtId="9" fontId="24" fillId="0" borderId="1" xfId="0" applyNumberFormat="1" applyFont="1" applyFill="1" applyBorder="1" applyAlignment="1">
      <alignment horizontal="center"/>
    </xf>
    <xf numFmtId="10" fontId="24" fillId="0" borderId="1" xfId="0" applyNumberFormat="1" applyFont="1" applyFill="1" applyBorder="1" applyAlignment="1">
      <alignment horizontal="center"/>
    </xf>
    <xf numFmtId="0" fontId="0" fillId="0" borderId="0" xfId="0" applyFont="1"/>
    <xf numFmtId="10" fontId="24" fillId="0" borderId="1" xfId="5" applyNumberFormat="1" applyFont="1" applyFill="1" applyBorder="1" applyAlignment="1">
      <alignment horizontal="center"/>
    </xf>
    <xf numFmtId="171" fontId="24" fillId="0" borderId="1" xfId="0" applyNumberFormat="1" applyFont="1" applyBorder="1" applyAlignment="1">
      <alignment horizontal="center"/>
    </xf>
    <xf numFmtId="10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right"/>
    </xf>
    <xf numFmtId="165" fontId="24" fillId="0" borderId="1" xfId="1" applyFont="1" applyBorder="1" applyAlignment="1">
      <alignment horizontal="center" vertical="distributed"/>
    </xf>
    <xf numFmtId="0" fontId="29" fillId="7" borderId="1" xfId="0" applyFont="1" applyFill="1" applyBorder="1"/>
    <xf numFmtId="0" fontId="24" fillId="7" borderId="1" xfId="0" applyFont="1" applyFill="1" applyBorder="1" applyAlignment="1">
      <alignment horizontal="center"/>
    </xf>
    <xf numFmtId="186" fontId="29" fillId="7" borderId="1" xfId="0" applyNumberFormat="1" applyFont="1" applyFill="1" applyBorder="1"/>
    <xf numFmtId="9" fontId="29" fillId="7" borderId="1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186" fontId="24" fillId="0" borderId="1" xfId="0" applyNumberFormat="1" applyFont="1" applyFill="1" applyBorder="1"/>
    <xf numFmtId="186" fontId="24" fillId="0" borderId="1" xfId="0" applyNumberFormat="1" applyFont="1" applyFill="1" applyBorder="1" applyAlignment="1">
      <alignment horizontal="center"/>
    </xf>
    <xf numFmtId="0" fontId="45" fillId="0" borderId="1" xfId="0" applyFont="1" applyFill="1" applyBorder="1"/>
    <xf numFmtId="0" fontId="43" fillId="0" borderId="1" xfId="0" applyFont="1" applyFill="1" applyBorder="1" applyAlignment="1">
      <alignment horizontal="center"/>
    </xf>
    <xf numFmtId="186" fontId="43" fillId="0" borderId="1" xfId="1" applyNumberFormat="1" applyFont="1" applyFill="1" applyBorder="1"/>
    <xf numFmtId="0" fontId="43" fillId="0" borderId="1" xfId="0" applyFont="1" applyFill="1" applyBorder="1"/>
    <xf numFmtId="0" fontId="43" fillId="0" borderId="0" xfId="0" applyFont="1" applyFill="1"/>
    <xf numFmtId="0" fontId="46" fillId="4" borderId="1" xfId="0" applyFont="1" applyFill="1" applyBorder="1" applyAlignment="1">
      <alignment horizontal="center" vertical="center" wrapText="1"/>
    </xf>
    <xf numFmtId="166" fontId="24" fillId="0" borderId="0" xfId="0" applyNumberFormat="1" applyFont="1" applyBorder="1"/>
    <xf numFmtId="10" fontId="24" fillId="0" borderId="0" xfId="0" applyNumberFormat="1" applyFont="1" applyBorder="1"/>
    <xf numFmtId="9" fontId="24" fillId="0" borderId="1" xfId="0" applyNumberFormat="1" applyFont="1" applyFill="1" applyBorder="1" applyAlignment="1">
      <alignment horizontal="center" vertical="center"/>
    </xf>
    <xf numFmtId="171" fontId="24" fillId="0" borderId="1" xfId="5" applyNumberFormat="1" applyFont="1" applyFill="1" applyBorder="1" applyAlignment="1">
      <alignment horizontal="center"/>
    </xf>
    <xf numFmtId="9" fontId="24" fillId="0" borderId="1" xfId="5" applyNumberFormat="1" applyFont="1" applyFill="1" applyBorder="1" applyAlignment="1">
      <alignment horizontal="center"/>
    </xf>
    <xf numFmtId="164" fontId="47" fillId="0" borderId="54" xfId="16" applyFont="1" applyFill="1" applyBorder="1"/>
    <xf numFmtId="164" fontId="29" fillId="0" borderId="33" xfId="15" applyNumberFormat="1" applyFont="1" applyFill="1" applyBorder="1" applyAlignment="1">
      <alignment horizontal="center" vertical="center" wrapText="1"/>
    </xf>
    <xf numFmtId="164" fontId="48" fillId="0" borderId="0" xfId="16" applyNumberFormat="1" applyFont="1" applyFill="1" applyBorder="1" applyAlignment="1">
      <alignment horizontal="center" vertical="center"/>
    </xf>
    <xf numFmtId="164" fontId="40" fillId="0" borderId="0" xfId="16" applyNumberFormat="1" applyFont="1" applyFill="1" applyBorder="1" applyAlignment="1">
      <alignment horizontal="center" vertical="center"/>
    </xf>
    <xf numFmtId="164" fontId="40" fillId="0" borderId="54" xfId="14" applyNumberFormat="1" applyFont="1" applyFill="1" applyBorder="1" applyAlignment="1">
      <alignment horizontal="center" vertical="center"/>
    </xf>
    <xf numFmtId="172" fontId="29" fillId="0" borderId="33" xfId="15" applyNumberFormat="1" applyFont="1" applyFill="1" applyBorder="1" applyAlignment="1">
      <alignment horizontal="center" vertical="center" wrapText="1"/>
    </xf>
    <xf numFmtId="164" fontId="40" fillId="0" borderId="53" xfId="14" applyNumberFormat="1" applyFont="1" applyFill="1" applyBorder="1" applyAlignment="1">
      <alignment horizontal="center" vertical="center"/>
    </xf>
    <xf numFmtId="164" fontId="40" fillId="0" borderId="55" xfId="14" applyNumberFormat="1" applyFont="1" applyFill="1" applyBorder="1" applyAlignment="1">
      <alignment horizontal="center" vertical="center"/>
    </xf>
    <xf numFmtId="0" fontId="46" fillId="6" borderId="28" xfId="0" applyFont="1" applyFill="1" applyBorder="1" applyAlignment="1">
      <alignment horizontal="center" vertical="center" wrapText="1"/>
    </xf>
    <xf numFmtId="0" fontId="24" fillId="0" borderId="54" xfId="0" applyFont="1" applyFill="1" applyBorder="1" applyAlignment="1">
      <alignment vertical="center"/>
    </xf>
    <xf numFmtId="42" fontId="0" fillId="0" borderId="0" xfId="20" applyFont="1"/>
    <xf numFmtId="191" fontId="10" fillId="0" borderId="1" xfId="0" applyNumberFormat="1" applyFont="1" applyBorder="1" applyAlignment="1">
      <alignment horizontal="center" vertical="center"/>
    </xf>
    <xf numFmtId="191" fontId="10" fillId="0" borderId="9" xfId="0" applyNumberFormat="1" applyFont="1" applyBorder="1" applyAlignment="1">
      <alignment horizontal="center" vertical="center"/>
    </xf>
    <xf numFmtId="176" fontId="10" fillId="0" borderId="13" xfId="0" applyNumberFormat="1" applyFont="1" applyBorder="1" applyAlignment="1">
      <alignment horizontal="center" vertical="center"/>
    </xf>
    <xf numFmtId="179" fontId="10" fillId="0" borderId="38" xfId="0" applyNumberFormat="1" applyFont="1" applyBorder="1" applyAlignment="1">
      <alignment horizontal="center" vertical="center"/>
    </xf>
    <xf numFmtId="2" fontId="0" fillId="0" borderId="0" xfId="0" applyNumberFormat="1" applyBorder="1"/>
    <xf numFmtId="9" fontId="0" fillId="0" borderId="0" xfId="0" applyNumberFormat="1"/>
    <xf numFmtId="170" fontId="0" fillId="0" borderId="0" xfId="0" applyNumberFormat="1"/>
    <xf numFmtId="179" fontId="10" fillId="0" borderId="9" xfId="0" applyNumberFormat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6" fillId="0" borderId="33" xfId="0" applyFont="1" applyBorder="1" applyAlignment="1">
      <alignment horizontal="center" wrapText="1"/>
    </xf>
    <xf numFmtId="0" fontId="6" fillId="0" borderId="33" xfId="0" applyFont="1" applyBorder="1" applyAlignment="1">
      <alignment horizontal="center" vertical="center"/>
    </xf>
    <xf numFmtId="0" fontId="5" fillId="0" borderId="17" xfId="0" applyFont="1" applyBorder="1" applyAlignment="1">
      <alignment vertical="center" wrapText="1"/>
    </xf>
    <xf numFmtId="0" fontId="5" fillId="0" borderId="18" xfId="0" applyFont="1" applyBorder="1" applyAlignment="1">
      <alignment vertical="center" wrapText="1"/>
    </xf>
    <xf numFmtId="1" fontId="40" fillId="0" borderId="54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0" fontId="40" fillId="0" borderId="54" xfId="0" applyFont="1" applyBorder="1"/>
    <xf numFmtId="0" fontId="40" fillId="0" borderId="60" xfId="0" applyFont="1" applyBorder="1"/>
    <xf numFmtId="164" fontId="40" fillId="0" borderId="57" xfId="0" applyNumberFormat="1" applyFont="1" applyBorder="1"/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9" fontId="40" fillId="0" borderId="57" xfId="0" applyNumberFormat="1" applyFont="1" applyBorder="1" applyAlignment="1">
      <alignment horizontal="center"/>
    </xf>
    <xf numFmtId="191" fontId="0" fillId="5" borderId="33" xfId="0" applyNumberFormat="1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 wrapText="1"/>
    </xf>
    <xf numFmtId="0" fontId="40" fillId="0" borderId="51" xfId="0" applyFont="1" applyBorder="1" applyAlignment="1"/>
    <xf numFmtId="0" fontId="39" fillId="0" borderId="54" xfId="0" applyFont="1" applyFill="1" applyBorder="1" applyAlignment="1">
      <alignment horizontal="center" vertical="center" wrapText="1"/>
    </xf>
    <xf numFmtId="0" fontId="40" fillId="0" borderId="63" xfId="0" applyFont="1" applyFill="1" applyBorder="1" applyAlignment="1"/>
    <xf numFmtId="1" fontId="40" fillId="0" borderId="54" xfId="0" applyNumberFormat="1" applyFont="1" applyFill="1" applyBorder="1" applyAlignment="1">
      <alignment horizontal="center"/>
    </xf>
    <xf numFmtId="2" fontId="40" fillId="0" borderId="54" xfId="0" applyNumberFormat="1" applyFont="1" applyFill="1" applyBorder="1" applyAlignment="1">
      <alignment horizontal="center"/>
    </xf>
    <xf numFmtId="0" fontId="40" fillId="0" borderId="60" xfId="0" applyFont="1" applyFill="1" applyBorder="1"/>
    <xf numFmtId="0" fontId="40" fillId="0" borderId="54" xfId="0" applyFont="1" applyFill="1" applyBorder="1"/>
    <xf numFmtId="0" fontId="6" fillId="0" borderId="23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/>
    </xf>
    <xf numFmtId="0" fontId="40" fillId="0" borderId="50" xfId="0" applyFont="1" applyBorder="1" applyAlignment="1"/>
    <xf numFmtId="0" fontId="39" fillId="0" borderId="53" xfId="0" applyFont="1" applyFill="1" applyBorder="1" applyAlignment="1">
      <alignment horizontal="center" vertical="center" wrapText="1"/>
    </xf>
    <xf numFmtId="1" fontId="40" fillId="0" borderId="53" xfId="0" applyNumberFormat="1" applyFont="1" applyBorder="1" applyAlignment="1">
      <alignment horizontal="center"/>
    </xf>
    <xf numFmtId="2" fontId="40" fillId="0" borderId="53" xfId="0" applyNumberFormat="1" applyFont="1" applyBorder="1" applyAlignment="1">
      <alignment horizontal="center"/>
    </xf>
    <xf numFmtId="0" fontId="40" fillId="0" borderId="53" xfId="0" applyFont="1" applyBorder="1" applyAlignment="1">
      <alignment horizontal="center"/>
    </xf>
    <xf numFmtId="0" fontId="40" fillId="0" borderId="53" xfId="0" applyFont="1" applyBorder="1"/>
    <xf numFmtId="0" fontId="40" fillId="0" borderId="59" xfId="0" applyFont="1" applyBorder="1"/>
    <xf numFmtId="164" fontId="40" fillId="0" borderId="56" xfId="0" applyNumberFormat="1" applyFont="1" applyBorder="1"/>
    <xf numFmtId="9" fontId="40" fillId="0" borderId="56" xfId="0" applyNumberFormat="1" applyFont="1" applyBorder="1" applyAlignment="1">
      <alignment horizontal="center"/>
    </xf>
    <xf numFmtId="0" fontId="40" fillId="0" borderId="52" xfId="0" applyFont="1" applyBorder="1" applyAlignment="1"/>
    <xf numFmtId="1" fontId="40" fillId="0" borderId="55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2" fontId="40" fillId="0" borderId="55" xfId="0" applyNumberFormat="1" applyFont="1" applyBorder="1" applyAlignment="1">
      <alignment horizontal="center"/>
    </xf>
    <xf numFmtId="164" fontId="40" fillId="0" borderId="58" xfId="0" applyNumberFormat="1" applyFont="1" applyBorder="1"/>
    <xf numFmtId="0" fontId="40" fillId="0" borderId="20" xfId="0" applyFont="1" applyBorder="1" applyAlignment="1"/>
    <xf numFmtId="0" fontId="40" fillId="0" borderId="30" xfId="0" applyFont="1" applyBorder="1" applyAlignment="1">
      <alignment horizontal="center"/>
    </xf>
    <xf numFmtId="2" fontId="40" fillId="0" borderId="30" xfId="0" applyNumberFormat="1" applyFont="1" applyBorder="1" applyAlignment="1">
      <alignment horizontal="center"/>
    </xf>
    <xf numFmtId="0" fontId="40" fillId="0" borderId="30" xfId="0" applyFont="1" applyBorder="1"/>
    <xf numFmtId="0" fontId="40" fillId="0" borderId="6" xfId="0" applyFont="1" applyBorder="1" applyAlignment="1"/>
    <xf numFmtId="0" fontId="40" fillId="0" borderId="28" xfId="0" applyFont="1" applyBorder="1" applyAlignment="1">
      <alignment horizontal="center"/>
    </xf>
    <xf numFmtId="2" fontId="40" fillId="0" borderId="28" xfId="0" applyNumberFormat="1" applyFont="1" applyBorder="1" applyAlignment="1">
      <alignment horizontal="center"/>
    </xf>
    <xf numFmtId="0" fontId="40" fillId="0" borderId="28" xfId="0" applyFont="1" applyBorder="1"/>
    <xf numFmtId="2" fontId="40" fillId="0" borderId="29" xfId="0" applyNumberFormat="1" applyFont="1" applyBorder="1" applyAlignment="1">
      <alignment horizontal="center"/>
    </xf>
    <xf numFmtId="0" fontId="40" fillId="0" borderId="29" xfId="0" applyFont="1" applyBorder="1" applyAlignment="1">
      <alignment horizontal="center"/>
    </xf>
    <xf numFmtId="0" fontId="39" fillId="0" borderId="55" xfId="0" applyFont="1" applyFill="1" applyBorder="1" applyAlignment="1">
      <alignment horizontal="center" vertical="center" wrapText="1"/>
    </xf>
    <xf numFmtId="9" fontId="40" fillId="0" borderId="58" xfId="0" applyNumberFormat="1" applyFont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4" fontId="40" fillId="0" borderId="53" xfId="0" applyNumberFormat="1" applyFont="1" applyBorder="1"/>
    <xf numFmtId="164" fontId="40" fillId="0" borderId="54" xfId="0" applyNumberFormat="1" applyFont="1" applyBorder="1"/>
    <xf numFmtId="164" fontId="40" fillId="0" borderId="55" xfId="0" applyNumberFormat="1" applyFont="1" applyBorder="1"/>
    <xf numFmtId="0" fontId="51" fillId="0" borderId="33" xfId="0" applyFont="1" applyBorder="1" applyAlignment="1">
      <alignment horizontal="left"/>
    </xf>
    <xf numFmtId="0" fontId="9" fillId="0" borderId="33" xfId="0" applyFont="1" applyBorder="1" applyAlignment="1">
      <alignment horizontal="left"/>
    </xf>
    <xf numFmtId="164" fontId="40" fillId="0" borderId="0" xfId="0" applyNumberFormat="1" applyFont="1" applyBorder="1"/>
    <xf numFmtId="164" fontId="40" fillId="0" borderId="56" xfId="0" applyNumberFormat="1" applyFont="1" applyFill="1" applyBorder="1"/>
    <xf numFmtId="164" fontId="40" fillId="0" borderId="57" xfId="0" applyNumberFormat="1" applyFont="1" applyFill="1" applyBorder="1"/>
    <xf numFmtId="164" fontId="40" fillId="0" borderId="58" xfId="0" applyNumberFormat="1" applyFont="1" applyFill="1" applyBorder="1"/>
    <xf numFmtId="0" fontId="40" fillId="0" borderId="17" xfId="0" applyFont="1" applyBorder="1" applyAlignment="1"/>
    <xf numFmtId="0" fontId="10" fillId="0" borderId="35" xfId="0" applyFont="1" applyBorder="1" applyAlignment="1">
      <alignment horizontal="center" vertical="center"/>
    </xf>
    <xf numFmtId="10" fontId="24" fillId="0" borderId="1" xfId="5" applyNumberFormat="1" applyFont="1" applyBorder="1" applyAlignment="1">
      <alignment horizontal="center"/>
    </xf>
    <xf numFmtId="1" fontId="24" fillId="0" borderId="1" xfId="1" applyNumberFormat="1" applyFont="1" applyBorder="1" applyAlignment="1">
      <alignment horizontal="center" vertical="center"/>
    </xf>
    <xf numFmtId="1" fontId="24" fillId="0" borderId="1" xfId="1" applyNumberFormat="1" applyFont="1" applyBorder="1" applyAlignment="1">
      <alignment horizontal="center"/>
    </xf>
    <xf numFmtId="10" fontId="24" fillId="0" borderId="1" xfId="2" applyNumberFormat="1" applyFont="1" applyFill="1" applyBorder="1" applyAlignment="1">
      <alignment horizontal="center"/>
    </xf>
    <xf numFmtId="186" fontId="29" fillId="8" borderId="1" xfId="1" applyNumberFormat="1" applyFont="1" applyFill="1" applyBorder="1"/>
    <xf numFmtId="0" fontId="54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10" fontId="21" fillId="0" borderId="0" xfId="0" applyNumberFormat="1" applyFont="1" applyFill="1" applyBorder="1" applyAlignment="1">
      <alignment horizontal="center"/>
    </xf>
    <xf numFmtId="164" fontId="53" fillId="0" borderId="0" xfId="16" applyFont="1" applyFill="1" applyBorder="1" applyAlignment="1">
      <alignment horizontal="center"/>
    </xf>
    <xf numFmtId="164" fontId="21" fillId="0" borderId="0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164" fontId="24" fillId="0" borderId="1" xfId="16" applyFont="1" applyFill="1" applyBorder="1" applyAlignment="1">
      <alignment horizontal="center" vertical="center"/>
    </xf>
    <xf numFmtId="42" fontId="21" fillId="0" borderId="0" xfId="0" applyNumberFormat="1" applyFont="1" applyFill="1" applyBorder="1" applyAlignment="1">
      <alignment vertical="center" wrapText="1"/>
    </xf>
    <xf numFmtId="10" fontId="24" fillId="0" borderId="1" xfId="1" applyNumberFormat="1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vertical="center" wrapText="1"/>
    </xf>
    <xf numFmtId="3" fontId="10" fillId="0" borderId="5" xfId="0" applyNumberFormat="1" applyFont="1" applyBorder="1" applyAlignment="1">
      <alignment vertical="center"/>
    </xf>
    <xf numFmtId="4" fontId="10" fillId="0" borderId="2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92" fontId="10" fillId="0" borderId="1" xfId="0" applyNumberFormat="1" applyFont="1" applyBorder="1" applyAlignment="1">
      <alignment horizontal="center" vertical="center"/>
    </xf>
    <xf numFmtId="4" fontId="10" fillId="0" borderId="33" xfId="0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64" fontId="47" fillId="0" borderId="54" xfId="16" applyFont="1" applyFill="1" applyBorder="1" applyAlignment="1">
      <alignment horizontal="right"/>
    </xf>
    <xf numFmtId="0" fontId="43" fillId="0" borderId="0" xfId="14" applyFont="1" applyFill="1" applyAlignment="1">
      <alignment horizontal="center"/>
    </xf>
    <xf numFmtId="164" fontId="43" fillId="0" borderId="54" xfId="14" applyNumberFormat="1" applyFont="1" applyFill="1" applyBorder="1" applyAlignment="1">
      <alignment horizontal="center" vertical="center"/>
    </xf>
    <xf numFmtId="0" fontId="12" fillId="0" borderId="0" xfId="14" applyFont="1" applyFill="1"/>
    <xf numFmtId="42" fontId="10" fillId="0" borderId="1" xfId="20" applyFont="1" applyBorder="1" applyAlignment="1">
      <alignment vertical="center"/>
    </xf>
    <xf numFmtId="42" fontId="10" fillId="0" borderId="9" xfId="20" applyFont="1" applyBorder="1" applyAlignment="1">
      <alignment vertical="center"/>
    </xf>
    <xf numFmtId="42" fontId="10" fillId="0" borderId="38" xfId="20" applyFont="1" applyBorder="1" applyAlignment="1">
      <alignment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86" fontId="2" fillId="0" borderId="54" xfId="0" applyNumberFormat="1" applyFont="1" applyFill="1" applyBorder="1"/>
    <xf numFmtId="186" fontId="2" fillId="0" borderId="57" xfId="0" applyNumberFormat="1" applyFont="1" applyFill="1" applyBorder="1"/>
    <xf numFmtId="0" fontId="2" fillId="0" borderId="0" xfId="0" applyFont="1" applyFill="1" applyAlignment="1">
      <alignment horizontal="center"/>
    </xf>
    <xf numFmtId="0" fontId="8" fillId="0" borderId="33" xfId="0" applyFont="1" applyFill="1" applyBorder="1" applyAlignment="1">
      <alignment horizontal="center" vertical="center" wrapText="1"/>
    </xf>
    <xf numFmtId="0" fontId="2" fillId="0" borderId="0" xfId="0" applyFont="1" applyFill="1"/>
    <xf numFmtId="193" fontId="10" fillId="0" borderId="1" xfId="0" applyNumberFormat="1" applyFont="1" applyBorder="1" applyAlignment="1">
      <alignment horizontal="center" vertical="center"/>
    </xf>
    <xf numFmtId="4" fontId="10" fillId="0" borderId="16" xfId="0" quotePrefix="1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94" fontId="10" fillId="0" borderId="1" xfId="20" applyNumberFormat="1" applyFont="1" applyBorder="1" applyAlignment="1">
      <alignment vertical="center"/>
    </xf>
    <xf numFmtId="0" fontId="47" fillId="0" borderId="0" xfId="0" applyFont="1" applyFill="1"/>
    <xf numFmtId="0" fontId="10" fillId="0" borderId="69" xfId="0" applyFont="1" applyBorder="1" applyAlignment="1">
      <alignment vertical="center"/>
    </xf>
    <xf numFmtId="0" fontId="10" fillId="0" borderId="70" xfId="0" applyFont="1" applyBorder="1" applyAlignment="1">
      <alignment vertical="center"/>
    </xf>
    <xf numFmtId="195" fontId="23" fillId="0" borderId="1" xfId="0" applyNumberFormat="1" applyFont="1" applyBorder="1" applyAlignment="1">
      <alignment horizontal="center" vertical="center"/>
    </xf>
    <xf numFmtId="0" fontId="2" fillId="0" borderId="53" xfId="0" applyNumberFormat="1" applyFont="1" applyFill="1" applyBorder="1" applyAlignment="1"/>
    <xf numFmtId="0" fontId="2" fillId="0" borderId="53" xfId="0" applyNumberFormat="1" applyFont="1" applyFill="1" applyBorder="1" applyAlignment="1">
      <alignment horizontal="center"/>
    </xf>
    <xf numFmtId="0" fontId="17" fillId="0" borderId="0" xfId="0" applyFont="1" applyFill="1"/>
    <xf numFmtId="164" fontId="2" fillId="0" borderId="53" xfId="16" applyFont="1" applyFill="1" applyBorder="1" applyAlignment="1"/>
    <xf numFmtId="164" fontId="2" fillId="0" borderId="55" xfId="16" applyFont="1" applyFill="1" applyBorder="1" applyAlignment="1"/>
    <xf numFmtId="186" fontId="2" fillId="0" borderId="58" xfId="0" applyNumberFormat="1" applyFont="1" applyFill="1" applyBorder="1"/>
    <xf numFmtId="42" fontId="2" fillId="0" borderId="0" xfId="0" applyNumberFormat="1" applyFont="1" applyFill="1"/>
    <xf numFmtId="186" fontId="2" fillId="0" borderId="53" xfId="0" applyNumberFormat="1" applyFont="1" applyFill="1" applyBorder="1"/>
    <xf numFmtId="186" fontId="2" fillId="0" borderId="30" xfId="0" applyNumberFormat="1" applyFont="1" applyFill="1" applyBorder="1"/>
    <xf numFmtId="186" fontId="56" fillId="0" borderId="0" xfId="0" applyNumberFormat="1" applyFont="1" applyFill="1" applyBorder="1"/>
    <xf numFmtId="186" fontId="2" fillId="0" borderId="56" xfId="0" applyNumberFormat="1" applyFont="1" applyFill="1" applyBorder="1"/>
    <xf numFmtId="186" fontId="2" fillId="0" borderId="68" xfId="16" applyNumberFormat="1" applyFont="1" applyFill="1" applyBorder="1"/>
    <xf numFmtId="186" fontId="2" fillId="0" borderId="55" xfId="0" applyNumberFormat="1" applyFont="1" applyFill="1" applyBorder="1"/>
    <xf numFmtId="186" fontId="17" fillId="0" borderId="0" xfId="16" applyNumberFormat="1" applyFont="1" applyFill="1" applyBorder="1"/>
    <xf numFmtId="0" fontId="2" fillId="0" borderId="55" xfId="0" applyNumberFormat="1" applyFont="1" applyFill="1" applyBorder="1" applyAlignment="1"/>
    <xf numFmtId="0" fontId="2" fillId="0" borderId="55" xfId="0" applyNumberFormat="1" applyFont="1" applyFill="1" applyBorder="1" applyAlignment="1">
      <alignment horizontal="center"/>
    </xf>
    <xf numFmtId="0" fontId="2" fillId="0" borderId="53" xfId="0" applyFont="1" applyFill="1" applyBorder="1" applyAlignment="1">
      <alignment horizontal="center"/>
    </xf>
    <xf numFmtId="0" fontId="2" fillId="0" borderId="55" xfId="0" applyFont="1" applyFill="1" applyBorder="1" applyAlignment="1">
      <alignment horizontal="center"/>
    </xf>
    <xf numFmtId="164" fontId="2" fillId="3" borderId="54" xfId="16" applyFont="1" applyFill="1" applyBorder="1" applyAlignment="1">
      <alignment vertical="center" wrapText="1"/>
    </xf>
    <xf numFmtId="164" fontId="2" fillId="3" borderId="54" xfId="16" applyFont="1" applyFill="1" applyBorder="1"/>
    <xf numFmtId="0" fontId="0" fillId="3" borderId="54" xfId="0" applyFill="1" applyBorder="1" applyAlignment="1">
      <alignment horizontal="center"/>
    </xf>
    <xf numFmtId="177" fontId="8" fillId="6" borderId="54" xfId="1" applyNumberFormat="1" applyFont="1" applyFill="1" applyBorder="1" applyAlignment="1">
      <alignment wrapText="1"/>
    </xf>
    <xf numFmtId="164" fontId="8" fillId="6" borderId="54" xfId="16" applyFont="1" applyFill="1" applyBorder="1" applyAlignment="1">
      <alignment horizontal="center" vertical="center" wrapText="1"/>
    </xf>
    <xf numFmtId="164" fontId="8" fillId="6" borderId="54" xfId="16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vertical="center" wrapText="1"/>
    </xf>
    <xf numFmtId="0" fontId="42" fillId="6" borderId="54" xfId="0" applyFont="1" applyFill="1" applyBorder="1" applyAlignment="1">
      <alignment horizontal="center" vertical="center" wrapText="1"/>
    </xf>
    <xf numFmtId="164" fontId="2" fillId="6" borderId="54" xfId="16" applyFont="1" applyFill="1" applyBorder="1" applyAlignment="1">
      <alignment vertical="center"/>
    </xf>
    <xf numFmtId="164" fontId="26" fillId="0" borderId="55" xfId="16" applyFont="1" applyFill="1" applyBorder="1"/>
    <xf numFmtId="0" fontId="40" fillId="0" borderId="0" xfId="0" applyFont="1" applyFill="1" applyAlignment="1">
      <alignment horizontal="center"/>
    </xf>
    <xf numFmtId="4" fontId="0" fillId="0" borderId="0" xfId="0" applyNumberFormat="1" applyBorder="1"/>
    <xf numFmtId="164" fontId="0" fillId="0" borderId="0" xfId="0" applyNumberFormat="1" applyFill="1"/>
    <xf numFmtId="0" fontId="43" fillId="0" borderId="0" xfId="14" applyFont="1" applyFill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3" fontId="10" fillId="0" borderId="47" xfId="0" applyNumberFormat="1" applyFont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3" fontId="10" fillId="0" borderId="44" xfId="0" applyNumberFormat="1" applyFont="1" applyBorder="1" applyAlignment="1">
      <alignment horizontal="center" vertical="center"/>
    </xf>
    <xf numFmtId="3" fontId="10" fillId="3" borderId="62" xfId="0" applyNumberFormat="1" applyFont="1" applyFill="1" applyBorder="1" applyAlignment="1">
      <alignment vertical="center"/>
    </xf>
    <xf numFmtId="182" fontId="10" fillId="0" borderId="62" xfId="0" applyNumberFormat="1" applyFont="1" applyBorder="1" applyAlignment="1">
      <alignment vertical="center"/>
    </xf>
    <xf numFmtId="4" fontId="10" fillId="0" borderId="71" xfId="0" applyNumberFormat="1" applyFont="1" applyBorder="1" applyAlignment="1">
      <alignment vertical="center"/>
    </xf>
    <xf numFmtId="0" fontId="10" fillId="0" borderId="31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72" xfId="0" applyFont="1" applyBorder="1" applyAlignment="1" applyProtection="1">
      <alignment vertical="center" wrapText="1"/>
    </xf>
    <xf numFmtId="186" fontId="10" fillId="0" borderId="16" xfId="0" applyNumberFormat="1" applyFont="1" applyBorder="1" applyAlignment="1">
      <alignment horizontal="center" vertical="center"/>
    </xf>
    <xf numFmtId="9" fontId="10" fillId="0" borderId="16" xfId="0" applyNumberFormat="1" applyFont="1" applyBorder="1" applyAlignment="1">
      <alignment horizontal="center" vertical="center"/>
    </xf>
    <xf numFmtId="186" fontId="10" fillId="0" borderId="73" xfId="0" applyNumberFormat="1" applyFont="1" applyBorder="1" applyAlignment="1">
      <alignment horizontal="center" vertical="center"/>
    </xf>
    <xf numFmtId="0" fontId="10" fillId="0" borderId="74" xfId="0" applyFont="1" applyBorder="1" applyAlignment="1" applyProtection="1">
      <alignment horizontal="left" vertical="center" wrapText="1"/>
    </xf>
    <xf numFmtId="0" fontId="10" fillId="0" borderId="66" xfId="0" applyFont="1" applyBorder="1" applyAlignment="1">
      <alignment horizontal="center" vertical="center"/>
    </xf>
    <xf numFmtId="186" fontId="10" fillId="0" borderId="22" xfId="0" applyNumberFormat="1" applyFont="1" applyBorder="1" applyAlignment="1">
      <alignment horizontal="center" vertical="center"/>
    </xf>
    <xf numFmtId="9" fontId="10" fillId="0" borderId="22" xfId="0" applyNumberFormat="1" applyFont="1" applyBorder="1" applyAlignment="1">
      <alignment horizontal="center" vertical="center"/>
    </xf>
    <xf numFmtId="4" fontId="10" fillId="0" borderId="22" xfId="0" quotePrefix="1" applyNumberFormat="1" applyFont="1" applyBorder="1" applyAlignment="1">
      <alignment horizontal="center" vertical="center"/>
    </xf>
    <xf numFmtId="186" fontId="10" fillId="0" borderId="19" xfId="0" applyNumberFormat="1" applyFont="1" applyBorder="1" applyAlignment="1">
      <alignment horizontal="center" vertical="center"/>
    </xf>
    <xf numFmtId="190" fontId="10" fillId="0" borderId="9" xfId="20" applyNumberFormat="1" applyFont="1" applyBorder="1" applyAlignment="1">
      <alignment vertical="center"/>
    </xf>
    <xf numFmtId="0" fontId="10" fillId="0" borderId="1" xfId="0" applyFont="1" applyBorder="1" applyAlignment="1" applyProtection="1">
      <alignment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6" xfId="0" applyFont="1" applyFill="1" applyBorder="1" applyAlignment="1">
      <alignment horizontal="center" vertical="center"/>
    </xf>
    <xf numFmtId="176" fontId="10" fillId="0" borderId="5" xfId="0" applyNumberFormat="1" applyFont="1" applyFill="1" applyBorder="1" applyAlignment="1">
      <alignment horizontal="center" vertical="center"/>
    </xf>
    <xf numFmtId="0" fontId="57" fillId="0" borderId="0" xfId="0" applyFont="1"/>
    <xf numFmtId="0" fontId="12" fillId="0" borderId="0" xfId="0" applyFont="1"/>
    <xf numFmtId="0" fontId="10" fillId="0" borderId="12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/>
    </xf>
    <xf numFmtId="164" fontId="24" fillId="0" borderId="0" xfId="0" applyNumberFormat="1" applyFont="1"/>
    <xf numFmtId="0" fontId="10" fillId="0" borderId="9" xfId="0" applyFont="1" applyBorder="1" applyAlignment="1" applyProtection="1">
      <alignment vertical="center"/>
    </xf>
    <xf numFmtId="0" fontId="10" fillId="0" borderId="5" xfId="0" applyFont="1" applyBorder="1" applyAlignment="1" applyProtection="1">
      <alignment vertical="center"/>
    </xf>
    <xf numFmtId="0" fontId="10" fillId="0" borderId="2" xfId="0" applyFont="1" applyBorder="1" applyAlignment="1" applyProtection="1">
      <alignment vertical="center"/>
    </xf>
    <xf numFmtId="0" fontId="51" fillId="2" borderId="54" xfId="0" applyFont="1" applyFill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2" fontId="10" fillId="0" borderId="5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4" fillId="0" borderId="55" xfId="14" applyFont="1" applyFill="1" applyBorder="1" applyAlignment="1">
      <alignment horizontal="center"/>
    </xf>
    <xf numFmtId="0" fontId="24" fillId="0" borderId="55" xfId="14" applyFont="1" applyFill="1" applyBorder="1" applyAlignment="1">
      <alignment horizontal="center" vertical="center"/>
    </xf>
    <xf numFmtId="174" fontId="24" fillId="0" borderId="55" xfId="14" applyNumberFormat="1" applyFont="1" applyFill="1" applyBorder="1" applyAlignment="1">
      <alignment horizontal="center"/>
    </xf>
    <xf numFmtId="164" fontId="2" fillId="0" borderId="54" xfId="16" applyFont="1" applyFill="1" applyBorder="1" applyAlignment="1">
      <alignment horizontal="center" vertical="center"/>
    </xf>
    <xf numFmtId="164" fontId="2" fillId="0" borderId="57" xfId="16" applyFont="1" applyFill="1" applyBorder="1" applyAlignment="1"/>
    <xf numFmtId="190" fontId="0" fillId="0" borderId="0" xfId="20" applyNumberFormat="1" applyFont="1"/>
    <xf numFmtId="4" fontId="10" fillId="3" borderId="9" xfId="0" applyNumberFormat="1" applyFont="1" applyFill="1" applyBorder="1" applyAlignment="1">
      <alignment horizontal="center" vertical="center"/>
    </xf>
    <xf numFmtId="4" fontId="10" fillId="3" borderId="9" xfId="0" applyNumberFormat="1" applyFont="1" applyFill="1" applyBorder="1" applyAlignment="1">
      <alignment vertical="center"/>
    </xf>
    <xf numFmtId="0" fontId="0" fillId="0" borderId="55" xfId="0" applyBorder="1" applyAlignment="1">
      <alignment horizontal="center"/>
    </xf>
    <xf numFmtId="177" fontId="2" fillId="0" borderId="55" xfId="1" applyNumberFormat="1" applyFont="1" applyFill="1" applyBorder="1" applyAlignment="1">
      <alignment wrapText="1"/>
    </xf>
    <xf numFmtId="164" fontId="24" fillId="0" borderId="55" xfId="16" applyFont="1" applyFill="1" applyBorder="1"/>
    <xf numFmtId="164" fontId="2" fillId="0" borderId="55" xfId="16" applyFont="1" applyFill="1" applyBorder="1" applyAlignment="1">
      <alignment vertical="center" wrapText="1"/>
    </xf>
    <xf numFmtId="164" fontId="2" fillId="0" borderId="55" xfId="16" applyFont="1" applyFill="1" applyBorder="1"/>
    <xf numFmtId="186" fontId="24" fillId="0" borderId="0" xfId="0" applyNumberFormat="1" applyFont="1" applyFill="1"/>
    <xf numFmtId="0" fontId="58" fillId="0" borderId="18" xfId="0" applyFont="1" applyFill="1" applyBorder="1" applyAlignment="1">
      <alignment vertical="center"/>
    </xf>
    <xf numFmtId="0" fontId="23" fillId="0" borderId="18" xfId="0" applyFont="1" applyFill="1" applyBorder="1" applyAlignment="1">
      <alignment vertical="center"/>
    </xf>
    <xf numFmtId="0" fontId="23" fillId="0" borderId="5" xfId="0" applyFont="1" applyFill="1" applyBorder="1" applyAlignment="1">
      <alignment vertical="center"/>
    </xf>
    <xf numFmtId="0" fontId="23" fillId="0" borderId="3" xfId="0" applyFont="1" applyFill="1" applyBorder="1" applyAlignment="1">
      <alignment vertical="center"/>
    </xf>
    <xf numFmtId="180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82" fontId="10" fillId="0" borderId="10" xfId="0" applyNumberFormat="1" applyFont="1" applyBorder="1" applyAlignment="1">
      <alignment horizontal="center" vertical="center"/>
    </xf>
    <xf numFmtId="0" fontId="44" fillId="6" borderId="54" xfId="0" applyFont="1" applyFill="1" applyBorder="1" applyAlignment="1">
      <alignment horizontal="center"/>
    </xf>
    <xf numFmtId="0" fontId="24" fillId="6" borderId="54" xfId="0" applyFont="1" applyFill="1" applyBorder="1"/>
    <xf numFmtId="164" fontId="24" fillId="6" borderId="54" xfId="16" applyFont="1" applyFill="1" applyBorder="1"/>
    <xf numFmtId="0" fontId="31" fillId="0" borderId="54" xfId="18" applyFont="1" applyFill="1" applyBorder="1" applyAlignment="1">
      <alignment horizontal="left" wrapText="1"/>
    </xf>
    <xf numFmtId="4" fontId="31" fillId="0" borderId="54" xfId="18" applyNumberFormat="1" applyFont="1" applyFill="1" applyBorder="1" applyAlignment="1">
      <alignment vertical="center"/>
    </xf>
    <xf numFmtId="2" fontId="24" fillId="0" borderId="54" xfId="14" applyNumberFormat="1" applyFont="1" applyFill="1" applyBorder="1" applyAlignment="1">
      <alignment horizontal="center"/>
    </xf>
    <xf numFmtId="2" fontId="24" fillId="0" borderId="54" xfId="14" applyNumberFormat="1" applyFont="1" applyFill="1" applyBorder="1" applyAlignment="1">
      <alignment horizontal="center" vertical="center"/>
    </xf>
    <xf numFmtId="4" fontId="31" fillId="0" borderId="54" xfId="18" applyNumberFormat="1" applyFont="1" applyFill="1" applyBorder="1" applyAlignment="1">
      <alignment vertical="center" wrapText="1"/>
    </xf>
    <xf numFmtId="0" fontId="31" fillId="0" borderId="55" xfId="18" applyFont="1" applyFill="1" applyBorder="1"/>
    <xf numFmtId="164" fontId="24" fillId="0" borderId="0" xfId="16" applyFont="1" applyFill="1"/>
    <xf numFmtId="164" fontId="24" fillId="0" borderId="0" xfId="16" applyFont="1" applyFill="1" applyAlignment="1">
      <alignment horizontal="center"/>
    </xf>
    <xf numFmtId="164" fontId="12" fillId="0" borderId="0" xfId="16" applyFont="1" applyFill="1"/>
    <xf numFmtId="0" fontId="10" fillId="0" borderId="35" xfId="0" applyFont="1" applyBorder="1" applyAlignment="1">
      <alignment horizontal="center" vertical="center"/>
    </xf>
    <xf numFmtId="164" fontId="2" fillId="0" borderId="54" xfId="16" applyNumberFormat="1" applyFont="1" applyFill="1" applyBorder="1"/>
    <xf numFmtId="0" fontId="40" fillId="0" borderId="0" xfId="0" applyFont="1"/>
    <xf numFmtId="0" fontId="2" fillId="0" borderId="75" xfId="0" applyFont="1" applyFill="1" applyBorder="1" applyAlignment="1">
      <alignment horizontal="center"/>
    </xf>
    <xf numFmtId="0" fontId="2" fillId="0" borderId="75" xfId="0" applyNumberFormat="1" applyFont="1" applyFill="1" applyBorder="1" applyAlignment="1"/>
    <xf numFmtId="0" fontId="2" fillId="0" borderId="75" xfId="0" applyNumberFormat="1" applyFont="1" applyFill="1" applyBorder="1" applyAlignment="1">
      <alignment horizontal="center"/>
    </xf>
    <xf numFmtId="186" fontId="2" fillId="0" borderId="68" xfId="0" applyNumberFormat="1" applyFont="1" applyFill="1" applyBorder="1"/>
    <xf numFmtId="186" fontId="2" fillId="0" borderId="75" xfId="0" applyNumberFormat="1" applyFont="1" applyFill="1" applyBorder="1"/>
    <xf numFmtId="2" fontId="59" fillId="0" borderId="0" xfId="0" applyNumberFormat="1" applyFont="1"/>
    <xf numFmtId="9" fontId="59" fillId="0" borderId="0" xfId="0" applyNumberFormat="1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NumberFormat="1" applyFont="1" applyFill="1" applyBorder="1" applyAlignment="1">
      <alignment horizontal="center" vertical="center"/>
    </xf>
    <xf numFmtId="2" fontId="59" fillId="0" borderId="1" xfId="0" applyNumberFormat="1" applyFont="1" applyBorder="1"/>
    <xf numFmtId="4" fontId="10" fillId="0" borderId="10" xfId="0" applyNumberFormat="1" applyFont="1" applyBorder="1" applyAlignment="1">
      <alignment horizontal="center" vertical="center"/>
    </xf>
    <xf numFmtId="177" fontId="2" fillId="0" borderId="54" xfId="1" applyNumberFormat="1" applyFont="1" applyFill="1" applyBorder="1" applyAlignment="1">
      <alignment vertical="top" wrapText="1"/>
    </xf>
    <xf numFmtId="164" fontId="2" fillId="0" borderId="54" xfId="16" applyNumberFormat="1" applyFont="1" applyFill="1" applyBorder="1" applyAlignment="1"/>
    <xf numFmtId="164" fontId="2" fillId="0" borderId="54" xfId="16" applyFont="1" applyFill="1" applyBorder="1" applyAlignment="1">
      <alignment horizontal="center" vertical="center" wrapText="1"/>
    </xf>
    <xf numFmtId="0" fontId="2" fillId="0" borderId="54" xfId="0" applyNumberFormat="1" applyFont="1" applyFill="1" applyBorder="1" applyAlignment="1">
      <alignment wrapText="1"/>
    </xf>
    <xf numFmtId="186" fontId="2" fillId="0" borderId="54" xfId="16" applyNumberFormat="1" applyFont="1" applyFill="1" applyBorder="1"/>
    <xf numFmtId="186" fontId="17" fillId="0" borderId="54" xfId="16" applyNumberFormat="1" applyFont="1" applyFill="1" applyBorder="1"/>
    <xf numFmtId="186" fontId="2" fillId="0" borderId="0" xfId="16" applyNumberFormat="1" applyFont="1" applyFill="1" applyBorder="1"/>
    <xf numFmtId="0" fontId="24" fillId="0" borderId="53" xfId="14" applyFont="1" applyFill="1" applyBorder="1" applyAlignment="1">
      <alignment horizontal="center"/>
    </xf>
    <xf numFmtId="0" fontId="31" fillId="0" borderId="53" xfId="18" applyFont="1" applyFill="1" applyBorder="1"/>
    <xf numFmtId="0" fontId="24" fillId="0" borderId="53" xfId="14" applyFont="1" applyFill="1" applyBorder="1" applyAlignment="1">
      <alignment horizontal="center" vertical="center"/>
    </xf>
    <xf numFmtId="174" fontId="24" fillId="0" borderId="53" xfId="14" applyNumberFormat="1" applyFont="1" applyFill="1" applyBorder="1" applyAlignment="1">
      <alignment horizontal="center"/>
    </xf>
    <xf numFmtId="0" fontId="31" fillId="0" borderId="54" xfId="18" applyFont="1" applyFill="1" applyBorder="1" applyAlignment="1">
      <alignment vertical="center" wrapText="1"/>
    </xf>
    <xf numFmtId="0" fontId="31" fillId="0" borderId="0" xfId="18" applyFont="1" applyFill="1"/>
    <xf numFmtId="176" fontId="24" fillId="0" borderId="54" xfId="14" applyNumberFormat="1" applyFont="1" applyFill="1" applyBorder="1" applyAlignment="1">
      <alignment horizontal="center"/>
    </xf>
    <xf numFmtId="0" fontId="31" fillId="0" borderId="54" xfId="18" applyFont="1" applyFill="1" applyBorder="1" applyAlignment="1">
      <alignment wrapText="1"/>
    </xf>
    <xf numFmtId="2" fontId="24" fillId="0" borderId="54" xfId="15" applyNumberFormat="1" applyFont="1" applyFill="1" applyBorder="1" applyAlignment="1">
      <alignment horizontal="center" vertical="center"/>
    </xf>
    <xf numFmtId="175" fontId="24" fillId="0" borderId="54" xfId="15" applyNumberFormat="1" applyFont="1" applyFill="1" applyBorder="1" applyAlignment="1">
      <alignment horizontal="center"/>
    </xf>
    <xf numFmtId="4" fontId="31" fillId="0" borderId="54" xfId="18" applyNumberFormat="1" applyFont="1" applyFill="1" applyBorder="1" applyAlignment="1">
      <alignment horizontal="left" vertical="center" wrapText="1"/>
    </xf>
    <xf numFmtId="176" fontId="29" fillId="2" borderId="54" xfId="0" applyNumberFormat="1" applyFont="1" applyFill="1" applyBorder="1" applyAlignment="1">
      <alignment horizontal="center"/>
    </xf>
    <xf numFmtId="0" fontId="24" fillId="2" borderId="54" xfId="0" applyFont="1" applyFill="1" applyBorder="1" applyAlignment="1">
      <alignment horizontal="center" vertical="center"/>
    </xf>
    <xf numFmtId="174" fontId="24" fillId="2" borderId="54" xfId="14" applyNumberFormat="1" applyFont="1" applyFill="1" applyBorder="1" applyAlignment="1">
      <alignment horizontal="center"/>
    </xf>
    <xf numFmtId="0" fontId="12" fillId="0" borderId="0" xfId="14" applyFont="1" applyFill="1" applyAlignment="1">
      <alignment horizont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194" fontId="10" fillId="0" borderId="38" xfId="20" applyNumberFormat="1" applyFont="1" applyBorder="1" applyAlignment="1">
      <alignment vertical="center"/>
    </xf>
    <xf numFmtId="0" fontId="2" fillId="0" borderId="54" xfId="0" applyNumberFormat="1" applyFont="1" applyFill="1" applyBorder="1" applyAlignment="1">
      <alignment horizontal="left" vertical="top" wrapText="1"/>
    </xf>
    <xf numFmtId="42" fontId="0" fillId="0" borderId="0" xfId="20" applyFont="1" applyAlignment="1">
      <alignment horizontal="center"/>
    </xf>
    <xf numFmtId="0" fontId="10" fillId="0" borderId="17" xfId="0" applyFont="1" applyBorder="1" applyAlignment="1">
      <alignment horizontal="left" vertical="center"/>
    </xf>
    <xf numFmtId="164" fontId="2" fillId="0" borderId="0" xfId="16" applyNumberFormat="1" applyFont="1" applyFill="1" applyBorder="1" applyAlignment="1"/>
    <xf numFmtId="44" fontId="0" fillId="0" borderId="0" xfId="0" applyNumberFormat="1"/>
    <xf numFmtId="194" fontId="0" fillId="0" borderId="0" xfId="20" applyNumberFormat="1" applyFont="1"/>
    <xf numFmtId="0" fontId="24" fillId="0" borderId="54" xfId="0" applyFont="1" applyFill="1" applyBorder="1" applyAlignment="1">
      <alignment horizontal="center" vertical="center"/>
    </xf>
    <xf numFmtId="0" fontId="2" fillId="6" borderId="54" xfId="0" applyFont="1" applyFill="1" applyBorder="1" applyAlignment="1">
      <alignment horizontal="center" vertical="center" wrapText="1"/>
    </xf>
    <xf numFmtId="164" fontId="8" fillId="6" borderId="54" xfId="16" applyFont="1" applyFill="1" applyBorder="1" applyAlignment="1">
      <alignment horizontal="center"/>
    </xf>
    <xf numFmtId="0" fontId="41" fillId="6" borderId="54" xfId="0" applyFont="1" applyFill="1" applyBorder="1" applyAlignment="1">
      <alignment horizontal="center" vertical="center" wrapText="1"/>
    </xf>
    <xf numFmtId="164" fontId="2" fillId="6" borderId="54" xfId="16" applyFont="1" applyFill="1" applyBorder="1" applyAlignment="1">
      <alignment vertical="center" wrapText="1"/>
    </xf>
    <xf numFmtId="0" fontId="19" fillId="0" borderId="54" xfId="18" applyFill="1" applyBorder="1" applyAlignment="1">
      <alignment wrapText="1"/>
    </xf>
    <xf numFmtId="0" fontId="19" fillId="0" borderId="54" xfId="18" applyFill="1" applyBorder="1"/>
    <xf numFmtId="4" fontId="19" fillId="0" borderId="54" xfId="18" applyNumberFormat="1" applyFill="1" applyBorder="1" applyAlignment="1">
      <alignment vertical="center" wrapText="1"/>
    </xf>
    <xf numFmtId="0" fontId="29" fillId="0" borderId="0" xfId="14" applyFont="1" applyFill="1" applyAlignment="1">
      <alignment horizontal="center"/>
    </xf>
    <xf numFmtId="0" fontId="29" fillId="0" borderId="23" xfId="14" applyFont="1" applyFill="1" applyBorder="1" applyAlignment="1">
      <alignment horizontal="center" vertical="center"/>
    </xf>
    <xf numFmtId="0" fontId="29" fillId="0" borderId="25" xfId="14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right"/>
    </xf>
    <xf numFmtId="0" fontId="38" fillId="0" borderId="0" xfId="0" applyFont="1" applyBorder="1" applyAlignment="1">
      <alignment horizontal="left" vertical="center" wrapText="1"/>
    </xf>
    <xf numFmtId="0" fontId="29" fillId="6" borderId="2" xfId="0" applyFont="1" applyFill="1" applyBorder="1" applyAlignment="1">
      <alignment horizontal="center"/>
    </xf>
    <xf numFmtId="0" fontId="29" fillId="6" borderId="3" xfId="0" applyFont="1" applyFill="1" applyBorder="1" applyAlignment="1">
      <alignment horizontal="center"/>
    </xf>
    <xf numFmtId="0" fontId="29" fillId="6" borderId="4" xfId="0" applyFont="1" applyFill="1" applyBorder="1" applyAlignment="1">
      <alignment horizontal="center"/>
    </xf>
    <xf numFmtId="189" fontId="29" fillId="6" borderId="2" xfId="0" applyNumberFormat="1" applyFont="1" applyFill="1" applyBorder="1" applyAlignment="1">
      <alignment horizontal="center"/>
    </xf>
    <xf numFmtId="189" fontId="29" fillId="6" borderId="4" xfId="0" applyNumberFormat="1" applyFont="1" applyFill="1" applyBorder="1" applyAlignment="1">
      <alignment horizontal="center"/>
    </xf>
    <xf numFmtId="188" fontId="29" fillId="6" borderId="2" xfId="0" applyNumberFormat="1" applyFont="1" applyFill="1" applyBorder="1" applyAlignment="1">
      <alignment horizontal="center"/>
    </xf>
    <xf numFmtId="188" fontId="29" fillId="6" borderId="4" xfId="0" applyNumberFormat="1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27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justify" vertical="center" wrapText="1"/>
    </xf>
    <xf numFmtId="0" fontId="10" fillId="0" borderId="27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23" fillId="0" borderId="35" xfId="0" applyFont="1" applyFill="1" applyBorder="1" applyAlignment="1">
      <alignment horizontal="center" vertical="center"/>
    </xf>
    <xf numFmtId="0" fontId="10" fillId="0" borderId="46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10" fillId="0" borderId="32" xfId="19" applyFont="1" applyBorder="1" applyAlignment="1">
      <alignment horizontal="left"/>
    </xf>
    <xf numFmtId="0" fontId="10" fillId="0" borderId="36" xfId="19" applyFont="1" applyBorder="1" applyAlignment="1">
      <alignment horizontal="left"/>
    </xf>
    <xf numFmtId="0" fontId="10" fillId="0" borderId="37" xfId="19" applyFont="1" applyBorder="1" applyAlignment="1">
      <alignment horizontal="left"/>
    </xf>
    <xf numFmtId="0" fontId="10" fillId="0" borderId="27" xfId="19" applyFont="1" applyBorder="1" applyAlignment="1">
      <alignment horizontal="left"/>
    </xf>
    <xf numFmtId="0" fontId="10" fillId="0" borderId="3" xfId="19" applyFont="1" applyBorder="1" applyAlignment="1">
      <alignment horizontal="left"/>
    </xf>
    <xf numFmtId="0" fontId="10" fillId="0" borderId="4" xfId="19" applyFont="1" applyBorder="1" applyAlignment="1">
      <alignment horizontal="left"/>
    </xf>
    <xf numFmtId="0" fontId="10" fillId="0" borderId="27" xfId="19" applyFont="1" applyBorder="1" applyAlignment="1">
      <alignment horizontal="left" vertical="center" wrapText="1"/>
    </xf>
    <xf numFmtId="0" fontId="10" fillId="0" borderId="3" xfId="19" applyFont="1" applyBorder="1" applyAlignment="1">
      <alignment horizontal="left" vertical="center" wrapText="1"/>
    </xf>
    <xf numFmtId="0" fontId="10" fillId="0" borderId="4" xfId="19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8" fillId="0" borderId="0" xfId="0" quotePrefix="1" applyFont="1" applyAlignment="1">
      <alignment horizontal="left" vertical="center" wrapText="1"/>
    </xf>
    <xf numFmtId="3" fontId="10" fillId="0" borderId="2" xfId="0" applyNumberFormat="1" applyFont="1" applyBorder="1" applyAlignment="1">
      <alignment horizontal="left" vertical="center" wrapText="1"/>
    </xf>
    <xf numFmtId="3" fontId="10" fillId="0" borderId="3" xfId="0" applyNumberFormat="1" applyFont="1" applyBorder="1" applyAlignment="1">
      <alignment horizontal="left" vertical="center" wrapText="1"/>
    </xf>
    <xf numFmtId="3" fontId="10" fillId="0" borderId="4" xfId="0" applyNumberFormat="1" applyFont="1" applyBorder="1" applyAlignment="1">
      <alignment horizontal="left" vertical="center" wrapText="1"/>
    </xf>
    <xf numFmtId="3" fontId="10" fillId="0" borderId="2" xfId="0" applyNumberFormat="1" applyFont="1" applyBorder="1" applyAlignment="1">
      <alignment horizontal="left" vertical="center"/>
    </xf>
    <xf numFmtId="3" fontId="10" fillId="0" borderId="3" xfId="0" applyNumberFormat="1" applyFont="1" applyBorder="1" applyAlignment="1">
      <alignment horizontal="left" vertical="center"/>
    </xf>
    <xf numFmtId="3" fontId="10" fillId="0" borderId="4" xfId="0" applyNumberFormat="1" applyFont="1" applyBorder="1" applyAlignment="1">
      <alignment horizontal="left" vertical="center"/>
    </xf>
    <xf numFmtId="0" fontId="10" fillId="0" borderId="1" xfId="0" applyFont="1" applyBorder="1" applyAlignment="1" applyProtection="1">
      <alignment horizontal="left" vertical="center" wrapText="1"/>
    </xf>
  </cellXfs>
  <cellStyles count="22">
    <cellStyle name="Cabecera 1" xfId="6"/>
    <cellStyle name="Cabecera 2" xfId="7"/>
    <cellStyle name="Fecha" xfId="8"/>
    <cellStyle name="Fijo" xfId="9"/>
    <cellStyle name="Hipervínculo" xfId="18" builtinId="8"/>
    <cellStyle name="Millares" xfId="1" builtinId="3"/>
    <cellStyle name="Millares 2" xfId="4"/>
    <cellStyle name="Millares 3" xfId="15"/>
    <cellStyle name="Moneda" xfId="16" builtinId="4"/>
    <cellStyle name="Moneda [0]" xfId="20" builtinId="7"/>
    <cellStyle name="Moneda 5" xfId="21"/>
    <cellStyle name="Moneda_Propuesta SCV-045-99" xfId="17"/>
    <cellStyle name="Monetario" xfId="10"/>
    <cellStyle name="Monetario0" xfId="11"/>
    <cellStyle name="Normal" xfId="0" builtinId="0"/>
    <cellStyle name="Normal 2" xfId="3"/>
    <cellStyle name="Normal 3" xfId="14"/>
    <cellStyle name="Normal 4" xfId="19"/>
    <cellStyle name="Porcentaje" xfId="2" builtinId="5"/>
    <cellStyle name="Porcentaje 2" xfId="5"/>
    <cellStyle name="Punto" xfId="12"/>
    <cellStyle name="Punto0" xfId="13"/>
  </cellStyles>
  <dxfs count="0"/>
  <tableStyles count="0" defaultTableStyle="TableStyleMedium2" defaultPivotStyle="PivotStyleLight16"/>
  <colors>
    <mruColors>
      <color rgb="FF0066FF"/>
      <color rgb="FF0000FF"/>
      <color rgb="FF6600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calcChain" Target="calcChain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theme" Target="theme/theme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1057275</xdr:colOff>
      <xdr:row>7</xdr:row>
      <xdr:rowOff>0</xdr:rowOff>
    </xdr:from>
    <xdr:to>
      <xdr:col>2</xdr:col>
      <xdr:colOff>1133475</xdr:colOff>
      <xdr:row>8</xdr:row>
      <xdr:rowOff>0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1781175" y="115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275167</xdr:colOff>
      <xdr:row>0</xdr:row>
      <xdr:rowOff>127000</xdr:rowOff>
    </xdr:from>
    <xdr:to>
      <xdr:col>4</xdr:col>
      <xdr:colOff>1248833</xdr:colOff>
      <xdr:row>5</xdr:row>
      <xdr:rowOff>74083</xdr:rowOff>
    </xdr:to>
    <xdr:pic>
      <xdr:nvPicPr>
        <xdr:cNvPr id="4" name="Imagen 3" descr="icontec ib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7" y="127000"/>
          <a:ext cx="7249583" cy="8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U/ALCANTARILLADO%20NUEVO%20te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SALARIOS"/>
      <sheetName val="EQUIPOS "/>
      <sheetName val="MATERIALES"/>
      <sheetName val="Memorias"/>
      <sheetName val="1,1"/>
      <sheetName val="1,2"/>
      <sheetName val="1,3"/>
      <sheetName val="1,4"/>
      <sheetName val="1,5"/>
      <sheetName val="1,6"/>
      <sheetName val="1,7"/>
      <sheetName val="1,8"/>
      <sheetName val="1,9"/>
      <sheetName val="1,10"/>
      <sheetName val="1,11"/>
      <sheetName val="1,12"/>
      <sheetName val="2,1"/>
      <sheetName val="2,2"/>
      <sheetName val="2,3"/>
      <sheetName val="2,4"/>
      <sheetName val="2,5"/>
      <sheetName val="2,6"/>
      <sheetName val="3,1"/>
      <sheetName val="3,2"/>
      <sheetName val="3,3"/>
      <sheetName val="3,4"/>
      <sheetName val="3,5"/>
      <sheetName val="3,6"/>
      <sheetName val="3,7"/>
      <sheetName val="3,8"/>
      <sheetName val="3,9"/>
      <sheetName val="3,10"/>
      <sheetName val="3,11"/>
      <sheetName val="3,12"/>
      <sheetName val="3,13"/>
      <sheetName val="3,14"/>
      <sheetName val="3,15"/>
      <sheetName val="3,16"/>
      <sheetName val="3,17"/>
      <sheetName val="4,1"/>
      <sheetName val="4,2"/>
      <sheetName val="4,3"/>
      <sheetName val="4,4"/>
      <sheetName val="4,5"/>
      <sheetName val="4,6"/>
      <sheetName val="4,7"/>
      <sheetName val="4,8"/>
      <sheetName val="4,9"/>
      <sheetName val="4,10"/>
      <sheetName val="4,11"/>
      <sheetName val="4,12"/>
      <sheetName val="5,1"/>
      <sheetName val="5,2"/>
      <sheetName val="5,3"/>
      <sheetName val="5,4"/>
      <sheetName val="5,5"/>
      <sheetName val="5,6"/>
      <sheetName val="5,7"/>
      <sheetName val="5,8"/>
      <sheetName val="5,9"/>
      <sheetName val="5,10"/>
      <sheetName val="5,11"/>
      <sheetName val="5,12"/>
      <sheetName val="5,13"/>
      <sheetName val="6,1"/>
      <sheetName val="6,2"/>
      <sheetName val="6,3"/>
      <sheetName val="6,4"/>
      <sheetName val="6,5"/>
      <sheetName val="6,6"/>
      <sheetName val="6,7"/>
      <sheetName val="6,8"/>
      <sheetName val="6,9"/>
      <sheetName val="6,10"/>
      <sheetName val="6,11"/>
      <sheetName val="6,12"/>
      <sheetName val="6,13"/>
      <sheetName val="6,14"/>
      <sheetName val="6,15"/>
      <sheetName val="6,16"/>
      <sheetName val="6,17"/>
      <sheetName val="6,18"/>
      <sheetName val="6,19"/>
      <sheetName val="6,20"/>
      <sheetName val="6,21"/>
      <sheetName val="6,22"/>
      <sheetName val="6,23"/>
      <sheetName val="7,1"/>
      <sheetName val="7,2"/>
      <sheetName val="7,3"/>
      <sheetName val="8,1,1"/>
      <sheetName val="8,1,2"/>
      <sheetName val="8,1,3"/>
      <sheetName val="8,1,4"/>
      <sheetName val="8,1,5"/>
      <sheetName val="8,1,6"/>
      <sheetName val="8,1,7"/>
      <sheetName val="8,1,8"/>
      <sheetName val="8,1,9"/>
      <sheetName val="8,2,1"/>
      <sheetName val="8,2,2"/>
      <sheetName val="8,2,3"/>
      <sheetName val="8,2,4"/>
      <sheetName val="8,2,5"/>
      <sheetName val="8,2,6"/>
      <sheetName val="8,2,7"/>
      <sheetName val="8,2,8"/>
      <sheetName val="8,2,9"/>
      <sheetName val="9,1,1"/>
      <sheetName val="9,1,2"/>
      <sheetName val="9,1,3"/>
      <sheetName val="9,1,4"/>
      <sheetName val="9,1,5"/>
      <sheetName val="9,1,6"/>
      <sheetName val="9,1,7"/>
      <sheetName val="9,1,8"/>
      <sheetName val="9,1,9"/>
      <sheetName val="10,1,1"/>
      <sheetName val="10,1,2"/>
      <sheetName val="10,1,3"/>
      <sheetName val="10,1,4"/>
      <sheetName val="10,1,5"/>
      <sheetName val="10,1,6"/>
      <sheetName val="10,1,7"/>
      <sheetName val="10,1,8"/>
      <sheetName val="10,1,9"/>
      <sheetName val="11,1,1"/>
      <sheetName val="11,1,2"/>
      <sheetName val="11,1,3"/>
      <sheetName val="11,1,4"/>
      <sheetName val="11,1,5"/>
      <sheetName val="11,1,6"/>
      <sheetName val="11,1,7"/>
      <sheetName val="11,2,1"/>
      <sheetName val="11,2,2"/>
      <sheetName val="11,2,3"/>
      <sheetName val="11,2,4"/>
      <sheetName val="11,2,5"/>
      <sheetName val="11,2,6"/>
      <sheetName val="11,2,7"/>
      <sheetName val="12,1,1"/>
      <sheetName val="12,1,2"/>
      <sheetName val="12,1,3"/>
      <sheetName val="12,1,4"/>
      <sheetName val="12,1,5"/>
      <sheetName val="12,1,6"/>
      <sheetName val="12,1,7"/>
      <sheetName val="12,2,1"/>
      <sheetName val="12,2,2"/>
      <sheetName val="12,2,3"/>
      <sheetName val="12,2,4"/>
      <sheetName val="12,2,5"/>
      <sheetName val="12,2,6"/>
      <sheetName val="12,2,7"/>
      <sheetName val="13,1,1"/>
      <sheetName val="13,1,2"/>
      <sheetName val="13,1,3"/>
      <sheetName val="13,1,4"/>
      <sheetName val="13,1,5"/>
      <sheetName val="13,1,6"/>
      <sheetName val="13,1,7"/>
      <sheetName val="13,1,8"/>
      <sheetName val="13,1,9"/>
      <sheetName val="13,1,10"/>
      <sheetName val="13,1,11"/>
      <sheetName val="13,1,12"/>
      <sheetName val="14,1,1"/>
      <sheetName val="14,1,2"/>
      <sheetName val="14,1,3"/>
      <sheetName val="14,1,4"/>
      <sheetName val="14,1,5"/>
      <sheetName val="14,1,6"/>
      <sheetName val="14,1,7"/>
      <sheetName val="14,1,8"/>
      <sheetName val="14,1,9"/>
      <sheetName val="14,1,10"/>
      <sheetName val="14,1,11"/>
      <sheetName val="15,1,1"/>
      <sheetName val="15,1,2"/>
      <sheetName val="15,1,3"/>
      <sheetName val="15,1,4"/>
      <sheetName val="15,1,5"/>
      <sheetName val="15,1,6"/>
      <sheetName val="15,1,7"/>
      <sheetName val="16,1,1"/>
      <sheetName val="16,1,2"/>
      <sheetName val="16,1,3"/>
      <sheetName val="16,1,4"/>
      <sheetName val="16,1,5"/>
      <sheetName val="16,1,6"/>
      <sheetName val="17,1,1"/>
      <sheetName val="17,1,2"/>
      <sheetName val="17,1,3"/>
      <sheetName val="17,1,4"/>
      <sheetName val="17,1,5"/>
      <sheetName val="17,1,6"/>
      <sheetName val="17,1,7"/>
      <sheetName val="17,1,8"/>
      <sheetName val="17,1,9"/>
      <sheetName val="18,1,1"/>
      <sheetName val="18,1,2"/>
      <sheetName val="18,1,3"/>
      <sheetName val="18,1,4"/>
      <sheetName val="18,1,5"/>
      <sheetName val="18,1,6"/>
      <sheetName val="18,1,7"/>
      <sheetName val="18,1,8"/>
      <sheetName val="18,1,9"/>
      <sheetName val="19,1,1"/>
      <sheetName val="19,1,2"/>
      <sheetName val="19,1,3"/>
      <sheetName val="19,1,4"/>
      <sheetName val="19,1,5"/>
      <sheetName val="19,1,6"/>
      <sheetName val="19,1,7"/>
      <sheetName val="19,1,8"/>
      <sheetName val="19,1,9"/>
      <sheetName val="19,1,10"/>
      <sheetName val="19,1,11"/>
      <sheetName val="19,1,12"/>
      <sheetName val="19,1,13"/>
      <sheetName val="19,1,14"/>
      <sheetName val="19,1,15"/>
      <sheetName val="19,2,1"/>
      <sheetName val="19,2,2"/>
      <sheetName val="19,2,3"/>
      <sheetName val="19,2,4"/>
      <sheetName val="20,1"/>
      <sheetName val="20,2"/>
      <sheetName val="20,3"/>
      <sheetName val="20,4"/>
      <sheetName val="20,5"/>
      <sheetName val="20,6"/>
      <sheetName val="20,7"/>
      <sheetName val="20,8"/>
      <sheetName val="20,9"/>
      <sheetName val="20,10"/>
      <sheetName val="20,11"/>
      <sheetName val="20,12"/>
      <sheetName val="20,13"/>
      <sheetName val="20,14"/>
      <sheetName val="20,15"/>
      <sheetName val="20,16"/>
      <sheetName val="20,17"/>
      <sheetName val="20,18"/>
      <sheetName val="20,19"/>
      <sheetName val="20,20"/>
      <sheetName val="20,21"/>
      <sheetName val="20,22"/>
      <sheetName val="20,23"/>
      <sheetName val="20,24"/>
      <sheetName val="20,25"/>
      <sheetName val="20,26"/>
      <sheetName val="20,27"/>
      <sheetName val="20,28"/>
      <sheetName val="20,29"/>
      <sheetName val="20,30"/>
      <sheetName val="20,31"/>
      <sheetName val="20,32"/>
      <sheetName val="20,33"/>
      <sheetName val="20,34"/>
      <sheetName val="20,35"/>
      <sheetName val="20,36"/>
      <sheetName val="20,37"/>
      <sheetName val="20,38"/>
      <sheetName val="20,39"/>
      <sheetName val="20,40"/>
      <sheetName val="9,21"/>
      <sheetName val="9,22"/>
      <sheetName val="9,23"/>
      <sheetName val="9,24"/>
      <sheetName val="9,25"/>
      <sheetName val="9,26"/>
      <sheetName val="9,27"/>
      <sheetName val="9,28"/>
      <sheetName val="9,29"/>
      <sheetName val="9,30"/>
      <sheetName val="9,31"/>
      <sheetName val="9,32"/>
      <sheetName val="9,33"/>
      <sheetName val="10.1.1"/>
      <sheetName val="VARIOS"/>
      <sheetName val="SUM. INST, TUB. CONC. 1022"/>
      <sheetName val="INST, TUB. CONC. 1022"/>
      <sheetName val="INST. TUB. CONC. 401"/>
      <sheetName val="SUM. INST. TUB. CONC. 401"/>
      <sheetName val="INST. TUB. PLAST. 0A2"/>
      <sheetName val="SUMINISTRO + INSTALACION TUB PL"/>
      <sheetName val="INST. TUB. PLAST. 2A4"/>
      <sheetName val="Hoja1"/>
    </sheetNames>
    <sheetDataSet>
      <sheetData sheetId="0" refreshError="1"/>
      <sheetData sheetId="1" refreshError="1">
        <row r="56">
          <cell r="C56">
            <v>0.15</v>
          </cell>
        </row>
        <row r="57">
          <cell r="C57">
            <v>0.05</v>
          </cell>
        </row>
        <row r="58">
          <cell r="C58">
            <v>0.05</v>
          </cell>
        </row>
        <row r="68">
          <cell r="C68">
            <v>20533</v>
          </cell>
        </row>
        <row r="69">
          <cell r="C69">
            <v>42000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8"/>
  <sheetViews>
    <sheetView zoomScale="90" zoomScaleNormal="90" zoomScaleSheetLayoutView="100" workbookViewId="0">
      <pane ySplit="9" topLeftCell="A304" activePane="bottomLeft" state="frozen"/>
      <selection activeCell="J35" sqref="J35"/>
      <selection pane="bottomLeft" activeCell="C328" sqref="C328"/>
    </sheetView>
  </sheetViews>
  <sheetFormatPr baseColWidth="10" defaultColWidth="9.109375" defaultRowHeight="14.4"/>
  <cols>
    <col min="1" max="1" width="11.44140625" style="420" bestFit="1" customWidth="1"/>
    <col min="2" max="2" width="10" style="420" customWidth="1"/>
    <col min="3" max="3" width="73.88671875" style="421" customWidth="1"/>
    <col min="4" max="4" width="10.33203125" style="422" customWidth="1"/>
    <col min="5" max="5" width="22.109375" style="423" bestFit="1" customWidth="1"/>
    <col min="6" max="6" width="22.109375" style="800" bestFit="1" customWidth="1"/>
    <col min="7" max="7" width="22.44140625" style="421" bestFit="1" customWidth="1"/>
    <col min="8" max="8" width="9.109375" style="421"/>
    <col min="9" max="9" width="13.88671875" style="1094" bestFit="1" customWidth="1"/>
    <col min="10" max="228" width="9.109375" style="421"/>
    <col min="229" max="229" width="10.88671875" style="421" customWidth="1"/>
    <col min="230" max="230" width="73.88671875" style="421" customWidth="1"/>
    <col min="231" max="231" width="11.44140625" style="421" customWidth="1"/>
    <col min="232" max="232" width="19.33203125" style="421" customWidth="1"/>
    <col min="233" max="233" width="18" style="421" customWidth="1"/>
    <col min="234" max="234" width="14.6640625" style="421" bestFit="1" customWidth="1"/>
    <col min="235" max="235" width="13" style="421" bestFit="1" customWidth="1"/>
    <col min="236" max="484" width="9.109375" style="421"/>
    <col min="485" max="485" width="10.88671875" style="421" customWidth="1"/>
    <col min="486" max="486" width="73.88671875" style="421" customWidth="1"/>
    <col min="487" max="487" width="11.44140625" style="421" customWidth="1"/>
    <col min="488" max="488" width="19.33203125" style="421" customWidth="1"/>
    <col min="489" max="489" width="18" style="421" customWidth="1"/>
    <col min="490" max="490" width="14.6640625" style="421" bestFit="1" customWidth="1"/>
    <col min="491" max="491" width="13" style="421" bestFit="1" customWidth="1"/>
    <col min="492" max="740" width="9.109375" style="421"/>
    <col min="741" max="741" width="10.88671875" style="421" customWidth="1"/>
    <col min="742" max="742" width="73.88671875" style="421" customWidth="1"/>
    <col min="743" max="743" width="11.44140625" style="421" customWidth="1"/>
    <col min="744" max="744" width="19.33203125" style="421" customWidth="1"/>
    <col min="745" max="745" width="18" style="421" customWidth="1"/>
    <col min="746" max="746" width="14.6640625" style="421" bestFit="1" customWidth="1"/>
    <col min="747" max="747" width="13" style="421" bestFit="1" customWidth="1"/>
    <col min="748" max="996" width="9.109375" style="421"/>
    <col min="997" max="997" width="10.88671875" style="421" customWidth="1"/>
    <col min="998" max="998" width="73.88671875" style="421" customWidth="1"/>
    <col min="999" max="999" width="11.44140625" style="421" customWidth="1"/>
    <col min="1000" max="1000" width="19.33203125" style="421" customWidth="1"/>
    <col min="1001" max="1001" width="18" style="421" customWidth="1"/>
    <col min="1002" max="1002" width="14.6640625" style="421" bestFit="1" customWidth="1"/>
    <col min="1003" max="1003" width="13" style="421" bestFit="1" customWidth="1"/>
    <col min="1004" max="1252" width="9.109375" style="421"/>
    <col min="1253" max="1253" width="10.88671875" style="421" customWidth="1"/>
    <col min="1254" max="1254" width="73.88671875" style="421" customWidth="1"/>
    <col min="1255" max="1255" width="11.44140625" style="421" customWidth="1"/>
    <col min="1256" max="1256" width="19.33203125" style="421" customWidth="1"/>
    <col min="1257" max="1257" width="18" style="421" customWidth="1"/>
    <col min="1258" max="1258" width="14.6640625" style="421" bestFit="1" customWidth="1"/>
    <col min="1259" max="1259" width="13" style="421" bestFit="1" customWidth="1"/>
    <col min="1260" max="1508" width="9.109375" style="421"/>
    <col min="1509" max="1509" width="10.88671875" style="421" customWidth="1"/>
    <col min="1510" max="1510" width="73.88671875" style="421" customWidth="1"/>
    <col min="1511" max="1511" width="11.44140625" style="421" customWidth="1"/>
    <col min="1512" max="1512" width="19.33203125" style="421" customWidth="1"/>
    <col min="1513" max="1513" width="18" style="421" customWidth="1"/>
    <col min="1514" max="1514" width="14.6640625" style="421" bestFit="1" customWidth="1"/>
    <col min="1515" max="1515" width="13" style="421" bestFit="1" customWidth="1"/>
    <col min="1516" max="1764" width="9.109375" style="421"/>
    <col min="1765" max="1765" width="10.88671875" style="421" customWidth="1"/>
    <col min="1766" max="1766" width="73.88671875" style="421" customWidth="1"/>
    <col min="1767" max="1767" width="11.44140625" style="421" customWidth="1"/>
    <col min="1768" max="1768" width="19.33203125" style="421" customWidth="1"/>
    <col min="1769" max="1769" width="18" style="421" customWidth="1"/>
    <col min="1770" max="1770" width="14.6640625" style="421" bestFit="1" customWidth="1"/>
    <col min="1771" max="1771" width="13" style="421" bestFit="1" customWidth="1"/>
    <col min="1772" max="2020" width="9.109375" style="421"/>
    <col min="2021" max="2021" width="10.88671875" style="421" customWidth="1"/>
    <col min="2022" max="2022" width="73.88671875" style="421" customWidth="1"/>
    <col min="2023" max="2023" width="11.44140625" style="421" customWidth="1"/>
    <col min="2024" max="2024" width="19.33203125" style="421" customWidth="1"/>
    <col min="2025" max="2025" width="18" style="421" customWidth="1"/>
    <col min="2026" max="2026" width="14.6640625" style="421" bestFit="1" customWidth="1"/>
    <col min="2027" max="2027" width="13" style="421" bestFit="1" customWidth="1"/>
    <col min="2028" max="2276" width="9.109375" style="421"/>
    <col min="2277" max="2277" width="10.88671875" style="421" customWidth="1"/>
    <col min="2278" max="2278" width="73.88671875" style="421" customWidth="1"/>
    <col min="2279" max="2279" width="11.44140625" style="421" customWidth="1"/>
    <col min="2280" max="2280" width="19.33203125" style="421" customWidth="1"/>
    <col min="2281" max="2281" width="18" style="421" customWidth="1"/>
    <col min="2282" max="2282" width="14.6640625" style="421" bestFit="1" customWidth="1"/>
    <col min="2283" max="2283" width="13" style="421" bestFit="1" customWidth="1"/>
    <col min="2284" max="2532" width="9.109375" style="421"/>
    <col min="2533" max="2533" width="10.88671875" style="421" customWidth="1"/>
    <col min="2534" max="2534" width="73.88671875" style="421" customWidth="1"/>
    <col min="2535" max="2535" width="11.44140625" style="421" customWidth="1"/>
    <col min="2536" max="2536" width="19.33203125" style="421" customWidth="1"/>
    <col min="2537" max="2537" width="18" style="421" customWidth="1"/>
    <col min="2538" max="2538" width="14.6640625" style="421" bestFit="1" customWidth="1"/>
    <col min="2539" max="2539" width="13" style="421" bestFit="1" customWidth="1"/>
    <col min="2540" max="2788" width="9.109375" style="421"/>
    <col min="2789" max="2789" width="10.88671875" style="421" customWidth="1"/>
    <col min="2790" max="2790" width="73.88671875" style="421" customWidth="1"/>
    <col min="2791" max="2791" width="11.44140625" style="421" customWidth="1"/>
    <col min="2792" max="2792" width="19.33203125" style="421" customWidth="1"/>
    <col min="2793" max="2793" width="18" style="421" customWidth="1"/>
    <col min="2794" max="2794" width="14.6640625" style="421" bestFit="1" customWidth="1"/>
    <col min="2795" max="2795" width="13" style="421" bestFit="1" customWidth="1"/>
    <col min="2796" max="3044" width="9.109375" style="421"/>
    <col min="3045" max="3045" width="10.88671875" style="421" customWidth="1"/>
    <col min="3046" max="3046" width="73.88671875" style="421" customWidth="1"/>
    <col min="3047" max="3047" width="11.44140625" style="421" customWidth="1"/>
    <col min="3048" max="3048" width="19.33203125" style="421" customWidth="1"/>
    <col min="3049" max="3049" width="18" style="421" customWidth="1"/>
    <col min="3050" max="3050" width="14.6640625" style="421" bestFit="1" customWidth="1"/>
    <col min="3051" max="3051" width="13" style="421" bestFit="1" customWidth="1"/>
    <col min="3052" max="3300" width="9.109375" style="421"/>
    <col min="3301" max="3301" width="10.88671875" style="421" customWidth="1"/>
    <col min="3302" max="3302" width="73.88671875" style="421" customWidth="1"/>
    <col min="3303" max="3303" width="11.44140625" style="421" customWidth="1"/>
    <col min="3304" max="3304" width="19.33203125" style="421" customWidth="1"/>
    <col min="3305" max="3305" width="18" style="421" customWidth="1"/>
    <col min="3306" max="3306" width="14.6640625" style="421" bestFit="1" customWidth="1"/>
    <col min="3307" max="3307" width="13" style="421" bestFit="1" customWidth="1"/>
    <col min="3308" max="3556" width="9.109375" style="421"/>
    <col min="3557" max="3557" width="10.88671875" style="421" customWidth="1"/>
    <col min="3558" max="3558" width="73.88671875" style="421" customWidth="1"/>
    <col min="3559" max="3559" width="11.44140625" style="421" customWidth="1"/>
    <col min="3560" max="3560" width="19.33203125" style="421" customWidth="1"/>
    <col min="3561" max="3561" width="18" style="421" customWidth="1"/>
    <col min="3562" max="3562" width="14.6640625" style="421" bestFit="1" customWidth="1"/>
    <col min="3563" max="3563" width="13" style="421" bestFit="1" customWidth="1"/>
    <col min="3564" max="3812" width="9.109375" style="421"/>
    <col min="3813" max="3813" width="10.88671875" style="421" customWidth="1"/>
    <col min="3814" max="3814" width="73.88671875" style="421" customWidth="1"/>
    <col min="3815" max="3815" width="11.44140625" style="421" customWidth="1"/>
    <col min="3816" max="3816" width="19.33203125" style="421" customWidth="1"/>
    <col min="3817" max="3817" width="18" style="421" customWidth="1"/>
    <col min="3818" max="3818" width="14.6640625" style="421" bestFit="1" customWidth="1"/>
    <col min="3819" max="3819" width="13" style="421" bestFit="1" customWidth="1"/>
    <col min="3820" max="4068" width="9.109375" style="421"/>
    <col min="4069" max="4069" width="10.88671875" style="421" customWidth="1"/>
    <col min="4070" max="4070" width="73.88671875" style="421" customWidth="1"/>
    <col min="4071" max="4071" width="11.44140625" style="421" customWidth="1"/>
    <col min="4072" max="4072" width="19.33203125" style="421" customWidth="1"/>
    <col min="4073" max="4073" width="18" style="421" customWidth="1"/>
    <col min="4074" max="4074" width="14.6640625" style="421" bestFit="1" customWidth="1"/>
    <col min="4075" max="4075" width="13" style="421" bestFit="1" customWidth="1"/>
    <col min="4076" max="4324" width="9.109375" style="421"/>
    <col min="4325" max="4325" width="10.88671875" style="421" customWidth="1"/>
    <col min="4326" max="4326" width="73.88671875" style="421" customWidth="1"/>
    <col min="4327" max="4327" width="11.44140625" style="421" customWidth="1"/>
    <col min="4328" max="4328" width="19.33203125" style="421" customWidth="1"/>
    <col min="4329" max="4329" width="18" style="421" customWidth="1"/>
    <col min="4330" max="4330" width="14.6640625" style="421" bestFit="1" customWidth="1"/>
    <col min="4331" max="4331" width="13" style="421" bestFit="1" customWidth="1"/>
    <col min="4332" max="4580" width="9.109375" style="421"/>
    <col min="4581" max="4581" width="10.88671875" style="421" customWidth="1"/>
    <col min="4582" max="4582" width="73.88671875" style="421" customWidth="1"/>
    <col min="4583" max="4583" width="11.44140625" style="421" customWidth="1"/>
    <col min="4584" max="4584" width="19.33203125" style="421" customWidth="1"/>
    <col min="4585" max="4585" width="18" style="421" customWidth="1"/>
    <col min="4586" max="4586" width="14.6640625" style="421" bestFit="1" customWidth="1"/>
    <col min="4587" max="4587" width="13" style="421" bestFit="1" customWidth="1"/>
    <col min="4588" max="4836" width="9.109375" style="421"/>
    <col min="4837" max="4837" width="10.88671875" style="421" customWidth="1"/>
    <col min="4838" max="4838" width="73.88671875" style="421" customWidth="1"/>
    <col min="4839" max="4839" width="11.44140625" style="421" customWidth="1"/>
    <col min="4840" max="4840" width="19.33203125" style="421" customWidth="1"/>
    <col min="4841" max="4841" width="18" style="421" customWidth="1"/>
    <col min="4842" max="4842" width="14.6640625" style="421" bestFit="1" customWidth="1"/>
    <col min="4843" max="4843" width="13" style="421" bestFit="1" customWidth="1"/>
    <col min="4844" max="5092" width="9.109375" style="421"/>
    <col min="5093" max="5093" width="10.88671875" style="421" customWidth="1"/>
    <col min="5094" max="5094" width="73.88671875" style="421" customWidth="1"/>
    <col min="5095" max="5095" width="11.44140625" style="421" customWidth="1"/>
    <col min="5096" max="5096" width="19.33203125" style="421" customWidth="1"/>
    <col min="5097" max="5097" width="18" style="421" customWidth="1"/>
    <col min="5098" max="5098" width="14.6640625" style="421" bestFit="1" customWidth="1"/>
    <col min="5099" max="5099" width="13" style="421" bestFit="1" customWidth="1"/>
    <col min="5100" max="5348" width="9.109375" style="421"/>
    <col min="5349" max="5349" width="10.88671875" style="421" customWidth="1"/>
    <col min="5350" max="5350" width="73.88671875" style="421" customWidth="1"/>
    <col min="5351" max="5351" width="11.44140625" style="421" customWidth="1"/>
    <col min="5352" max="5352" width="19.33203125" style="421" customWidth="1"/>
    <col min="5353" max="5353" width="18" style="421" customWidth="1"/>
    <col min="5354" max="5354" width="14.6640625" style="421" bestFit="1" customWidth="1"/>
    <col min="5355" max="5355" width="13" style="421" bestFit="1" customWidth="1"/>
    <col min="5356" max="5604" width="9.109375" style="421"/>
    <col min="5605" max="5605" width="10.88671875" style="421" customWidth="1"/>
    <col min="5606" max="5606" width="73.88671875" style="421" customWidth="1"/>
    <col min="5607" max="5607" width="11.44140625" style="421" customWidth="1"/>
    <col min="5608" max="5608" width="19.33203125" style="421" customWidth="1"/>
    <col min="5609" max="5609" width="18" style="421" customWidth="1"/>
    <col min="5610" max="5610" width="14.6640625" style="421" bestFit="1" customWidth="1"/>
    <col min="5611" max="5611" width="13" style="421" bestFit="1" customWidth="1"/>
    <col min="5612" max="5860" width="9.109375" style="421"/>
    <col min="5861" max="5861" width="10.88671875" style="421" customWidth="1"/>
    <col min="5862" max="5862" width="73.88671875" style="421" customWidth="1"/>
    <col min="5863" max="5863" width="11.44140625" style="421" customWidth="1"/>
    <col min="5864" max="5864" width="19.33203125" style="421" customWidth="1"/>
    <col min="5865" max="5865" width="18" style="421" customWidth="1"/>
    <col min="5866" max="5866" width="14.6640625" style="421" bestFit="1" customWidth="1"/>
    <col min="5867" max="5867" width="13" style="421" bestFit="1" customWidth="1"/>
    <col min="5868" max="6116" width="9.109375" style="421"/>
    <col min="6117" max="6117" width="10.88671875" style="421" customWidth="1"/>
    <col min="6118" max="6118" width="73.88671875" style="421" customWidth="1"/>
    <col min="6119" max="6119" width="11.44140625" style="421" customWidth="1"/>
    <col min="6120" max="6120" width="19.33203125" style="421" customWidth="1"/>
    <col min="6121" max="6121" width="18" style="421" customWidth="1"/>
    <col min="6122" max="6122" width="14.6640625" style="421" bestFit="1" customWidth="1"/>
    <col min="6123" max="6123" width="13" style="421" bestFit="1" customWidth="1"/>
    <col min="6124" max="6372" width="9.109375" style="421"/>
    <col min="6373" max="6373" width="10.88671875" style="421" customWidth="1"/>
    <col min="6374" max="6374" width="73.88671875" style="421" customWidth="1"/>
    <col min="6375" max="6375" width="11.44140625" style="421" customWidth="1"/>
    <col min="6376" max="6376" width="19.33203125" style="421" customWidth="1"/>
    <col min="6377" max="6377" width="18" style="421" customWidth="1"/>
    <col min="6378" max="6378" width="14.6640625" style="421" bestFit="1" customWidth="1"/>
    <col min="6379" max="6379" width="13" style="421" bestFit="1" customWidth="1"/>
    <col min="6380" max="6628" width="9.109375" style="421"/>
    <col min="6629" max="6629" width="10.88671875" style="421" customWidth="1"/>
    <col min="6630" max="6630" width="73.88671875" style="421" customWidth="1"/>
    <col min="6631" max="6631" width="11.44140625" style="421" customWidth="1"/>
    <col min="6632" max="6632" width="19.33203125" style="421" customWidth="1"/>
    <col min="6633" max="6633" width="18" style="421" customWidth="1"/>
    <col min="6634" max="6634" width="14.6640625" style="421" bestFit="1" customWidth="1"/>
    <col min="6635" max="6635" width="13" style="421" bestFit="1" customWidth="1"/>
    <col min="6636" max="6884" width="9.109375" style="421"/>
    <col min="6885" max="6885" width="10.88671875" style="421" customWidth="1"/>
    <col min="6886" max="6886" width="73.88671875" style="421" customWidth="1"/>
    <col min="6887" max="6887" width="11.44140625" style="421" customWidth="1"/>
    <col min="6888" max="6888" width="19.33203125" style="421" customWidth="1"/>
    <col min="6889" max="6889" width="18" style="421" customWidth="1"/>
    <col min="6890" max="6890" width="14.6640625" style="421" bestFit="1" customWidth="1"/>
    <col min="6891" max="6891" width="13" style="421" bestFit="1" customWidth="1"/>
    <col min="6892" max="7140" width="9.109375" style="421"/>
    <col min="7141" max="7141" width="10.88671875" style="421" customWidth="1"/>
    <col min="7142" max="7142" width="73.88671875" style="421" customWidth="1"/>
    <col min="7143" max="7143" width="11.44140625" style="421" customWidth="1"/>
    <col min="7144" max="7144" width="19.33203125" style="421" customWidth="1"/>
    <col min="7145" max="7145" width="18" style="421" customWidth="1"/>
    <col min="7146" max="7146" width="14.6640625" style="421" bestFit="1" customWidth="1"/>
    <col min="7147" max="7147" width="13" style="421" bestFit="1" customWidth="1"/>
    <col min="7148" max="7396" width="9.109375" style="421"/>
    <col min="7397" max="7397" width="10.88671875" style="421" customWidth="1"/>
    <col min="7398" max="7398" width="73.88671875" style="421" customWidth="1"/>
    <col min="7399" max="7399" width="11.44140625" style="421" customWidth="1"/>
    <col min="7400" max="7400" width="19.33203125" style="421" customWidth="1"/>
    <col min="7401" max="7401" width="18" style="421" customWidth="1"/>
    <col min="7402" max="7402" width="14.6640625" style="421" bestFit="1" customWidth="1"/>
    <col min="7403" max="7403" width="13" style="421" bestFit="1" customWidth="1"/>
    <col min="7404" max="7652" width="9.109375" style="421"/>
    <col min="7653" max="7653" width="10.88671875" style="421" customWidth="1"/>
    <col min="7654" max="7654" width="73.88671875" style="421" customWidth="1"/>
    <col min="7655" max="7655" width="11.44140625" style="421" customWidth="1"/>
    <col min="7656" max="7656" width="19.33203125" style="421" customWidth="1"/>
    <col min="7657" max="7657" width="18" style="421" customWidth="1"/>
    <col min="7658" max="7658" width="14.6640625" style="421" bestFit="1" customWidth="1"/>
    <col min="7659" max="7659" width="13" style="421" bestFit="1" customWidth="1"/>
    <col min="7660" max="7908" width="9.109375" style="421"/>
    <col min="7909" max="7909" width="10.88671875" style="421" customWidth="1"/>
    <col min="7910" max="7910" width="73.88671875" style="421" customWidth="1"/>
    <col min="7911" max="7911" width="11.44140625" style="421" customWidth="1"/>
    <col min="7912" max="7912" width="19.33203125" style="421" customWidth="1"/>
    <col min="7913" max="7913" width="18" style="421" customWidth="1"/>
    <col min="7914" max="7914" width="14.6640625" style="421" bestFit="1" customWidth="1"/>
    <col min="7915" max="7915" width="13" style="421" bestFit="1" customWidth="1"/>
    <col min="7916" max="8164" width="9.109375" style="421"/>
    <col min="8165" max="8165" width="10.88671875" style="421" customWidth="1"/>
    <col min="8166" max="8166" width="73.88671875" style="421" customWidth="1"/>
    <col min="8167" max="8167" width="11.44140625" style="421" customWidth="1"/>
    <col min="8168" max="8168" width="19.33203125" style="421" customWidth="1"/>
    <col min="8169" max="8169" width="18" style="421" customWidth="1"/>
    <col min="8170" max="8170" width="14.6640625" style="421" bestFit="1" customWidth="1"/>
    <col min="8171" max="8171" width="13" style="421" bestFit="1" customWidth="1"/>
    <col min="8172" max="8420" width="9.109375" style="421"/>
    <col min="8421" max="8421" width="10.88671875" style="421" customWidth="1"/>
    <col min="8422" max="8422" width="73.88671875" style="421" customWidth="1"/>
    <col min="8423" max="8423" width="11.44140625" style="421" customWidth="1"/>
    <col min="8424" max="8424" width="19.33203125" style="421" customWidth="1"/>
    <col min="8425" max="8425" width="18" style="421" customWidth="1"/>
    <col min="8426" max="8426" width="14.6640625" style="421" bestFit="1" customWidth="1"/>
    <col min="8427" max="8427" width="13" style="421" bestFit="1" customWidth="1"/>
    <col min="8428" max="8676" width="9.109375" style="421"/>
    <col min="8677" max="8677" width="10.88671875" style="421" customWidth="1"/>
    <col min="8678" max="8678" width="73.88671875" style="421" customWidth="1"/>
    <col min="8679" max="8679" width="11.44140625" style="421" customWidth="1"/>
    <col min="8680" max="8680" width="19.33203125" style="421" customWidth="1"/>
    <col min="8681" max="8681" width="18" style="421" customWidth="1"/>
    <col min="8682" max="8682" width="14.6640625" style="421" bestFit="1" customWidth="1"/>
    <col min="8683" max="8683" width="13" style="421" bestFit="1" customWidth="1"/>
    <col min="8684" max="8932" width="9.109375" style="421"/>
    <col min="8933" max="8933" width="10.88671875" style="421" customWidth="1"/>
    <col min="8934" max="8934" width="73.88671875" style="421" customWidth="1"/>
    <col min="8935" max="8935" width="11.44140625" style="421" customWidth="1"/>
    <col min="8936" max="8936" width="19.33203125" style="421" customWidth="1"/>
    <col min="8937" max="8937" width="18" style="421" customWidth="1"/>
    <col min="8938" max="8938" width="14.6640625" style="421" bestFit="1" customWidth="1"/>
    <col min="8939" max="8939" width="13" style="421" bestFit="1" customWidth="1"/>
    <col min="8940" max="9188" width="9.109375" style="421"/>
    <col min="9189" max="9189" width="10.88671875" style="421" customWidth="1"/>
    <col min="9190" max="9190" width="73.88671875" style="421" customWidth="1"/>
    <col min="9191" max="9191" width="11.44140625" style="421" customWidth="1"/>
    <col min="9192" max="9192" width="19.33203125" style="421" customWidth="1"/>
    <col min="9193" max="9193" width="18" style="421" customWidth="1"/>
    <col min="9194" max="9194" width="14.6640625" style="421" bestFit="1" customWidth="1"/>
    <col min="9195" max="9195" width="13" style="421" bestFit="1" customWidth="1"/>
    <col min="9196" max="9444" width="9.109375" style="421"/>
    <col min="9445" max="9445" width="10.88671875" style="421" customWidth="1"/>
    <col min="9446" max="9446" width="73.88671875" style="421" customWidth="1"/>
    <col min="9447" max="9447" width="11.44140625" style="421" customWidth="1"/>
    <col min="9448" max="9448" width="19.33203125" style="421" customWidth="1"/>
    <col min="9449" max="9449" width="18" style="421" customWidth="1"/>
    <col min="9450" max="9450" width="14.6640625" style="421" bestFit="1" customWidth="1"/>
    <col min="9451" max="9451" width="13" style="421" bestFit="1" customWidth="1"/>
    <col min="9452" max="9700" width="9.109375" style="421"/>
    <col min="9701" max="9701" width="10.88671875" style="421" customWidth="1"/>
    <col min="9702" max="9702" width="73.88671875" style="421" customWidth="1"/>
    <col min="9703" max="9703" width="11.44140625" style="421" customWidth="1"/>
    <col min="9704" max="9704" width="19.33203125" style="421" customWidth="1"/>
    <col min="9705" max="9705" width="18" style="421" customWidth="1"/>
    <col min="9706" max="9706" width="14.6640625" style="421" bestFit="1" customWidth="1"/>
    <col min="9707" max="9707" width="13" style="421" bestFit="1" customWidth="1"/>
    <col min="9708" max="9956" width="9.109375" style="421"/>
    <col min="9957" max="9957" width="10.88671875" style="421" customWidth="1"/>
    <col min="9958" max="9958" width="73.88671875" style="421" customWidth="1"/>
    <col min="9959" max="9959" width="11.44140625" style="421" customWidth="1"/>
    <col min="9960" max="9960" width="19.33203125" style="421" customWidth="1"/>
    <col min="9961" max="9961" width="18" style="421" customWidth="1"/>
    <col min="9962" max="9962" width="14.6640625" style="421" bestFit="1" customWidth="1"/>
    <col min="9963" max="9963" width="13" style="421" bestFit="1" customWidth="1"/>
    <col min="9964" max="10212" width="9.109375" style="421"/>
    <col min="10213" max="10213" width="10.88671875" style="421" customWidth="1"/>
    <col min="10214" max="10214" width="73.88671875" style="421" customWidth="1"/>
    <col min="10215" max="10215" width="11.44140625" style="421" customWidth="1"/>
    <col min="10216" max="10216" width="19.33203125" style="421" customWidth="1"/>
    <col min="10217" max="10217" width="18" style="421" customWidth="1"/>
    <col min="10218" max="10218" width="14.6640625" style="421" bestFit="1" customWidth="1"/>
    <col min="10219" max="10219" width="13" style="421" bestFit="1" customWidth="1"/>
    <col min="10220" max="10468" width="9.109375" style="421"/>
    <col min="10469" max="10469" width="10.88671875" style="421" customWidth="1"/>
    <col min="10470" max="10470" width="73.88671875" style="421" customWidth="1"/>
    <col min="10471" max="10471" width="11.44140625" style="421" customWidth="1"/>
    <col min="10472" max="10472" width="19.33203125" style="421" customWidth="1"/>
    <col min="10473" max="10473" width="18" style="421" customWidth="1"/>
    <col min="10474" max="10474" width="14.6640625" style="421" bestFit="1" customWidth="1"/>
    <col min="10475" max="10475" width="13" style="421" bestFit="1" customWidth="1"/>
    <col min="10476" max="10724" width="9.109375" style="421"/>
    <col min="10725" max="10725" width="10.88671875" style="421" customWidth="1"/>
    <col min="10726" max="10726" width="73.88671875" style="421" customWidth="1"/>
    <col min="10727" max="10727" width="11.44140625" style="421" customWidth="1"/>
    <col min="10728" max="10728" width="19.33203125" style="421" customWidth="1"/>
    <col min="10729" max="10729" width="18" style="421" customWidth="1"/>
    <col min="10730" max="10730" width="14.6640625" style="421" bestFit="1" customWidth="1"/>
    <col min="10731" max="10731" width="13" style="421" bestFit="1" customWidth="1"/>
    <col min="10732" max="10980" width="9.109375" style="421"/>
    <col min="10981" max="10981" width="10.88671875" style="421" customWidth="1"/>
    <col min="10982" max="10982" width="73.88671875" style="421" customWidth="1"/>
    <col min="10983" max="10983" width="11.44140625" style="421" customWidth="1"/>
    <col min="10984" max="10984" width="19.33203125" style="421" customWidth="1"/>
    <col min="10985" max="10985" width="18" style="421" customWidth="1"/>
    <col min="10986" max="10986" width="14.6640625" style="421" bestFit="1" customWidth="1"/>
    <col min="10987" max="10987" width="13" style="421" bestFit="1" customWidth="1"/>
    <col min="10988" max="11236" width="9.109375" style="421"/>
    <col min="11237" max="11237" width="10.88671875" style="421" customWidth="1"/>
    <col min="11238" max="11238" width="73.88671875" style="421" customWidth="1"/>
    <col min="11239" max="11239" width="11.44140625" style="421" customWidth="1"/>
    <col min="11240" max="11240" width="19.33203125" style="421" customWidth="1"/>
    <col min="11241" max="11241" width="18" style="421" customWidth="1"/>
    <col min="11242" max="11242" width="14.6640625" style="421" bestFit="1" customWidth="1"/>
    <col min="11243" max="11243" width="13" style="421" bestFit="1" customWidth="1"/>
    <col min="11244" max="11492" width="9.109375" style="421"/>
    <col min="11493" max="11493" width="10.88671875" style="421" customWidth="1"/>
    <col min="11494" max="11494" width="73.88671875" style="421" customWidth="1"/>
    <col min="11495" max="11495" width="11.44140625" style="421" customWidth="1"/>
    <col min="11496" max="11496" width="19.33203125" style="421" customWidth="1"/>
    <col min="11497" max="11497" width="18" style="421" customWidth="1"/>
    <col min="11498" max="11498" width="14.6640625" style="421" bestFit="1" customWidth="1"/>
    <col min="11499" max="11499" width="13" style="421" bestFit="1" customWidth="1"/>
    <col min="11500" max="11748" width="9.109375" style="421"/>
    <col min="11749" max="11749" width="10.88671875" style="421" customWidth="1"/>
    <col min="11750" max="11750" width="73.88671875" style="421" customWidth="1"/>
    <col min="11751" max="11751" width="11.44140625" style="421" customWidth="1"/>
    <col min="11752" max="11752" width="19.33203125" style="421" customWidth="1"/>
    <col min="11753" max="11753" width="18" style="421" customWidth="1"/>
    <col min="11754" max="11754" width="14.6640625" style="421" bestFit="1" customWidth="1"/>
    <col min="11755" max="11755" width="13" style="421" bestFit="1" customWidth="1"/>
    <col min="11756" max="12004" width="9.109375" style="421"/>
    <col min="12005" max="12005" width="10.88671875" style="421" customWidth="1"/>
    <col min="12006" max="12006" width="73.88671875" style="421" customWidth="1"/>
    <col min="12007" max="12007" width="11.44140625" style="421" customWidth="1"/>
    <col min="12008" max="12008" width="19.33203125" style="421" customWidth="1"/>
    <col min="12009" max="12009" width="18" style="421" customWidth="1"/>
    <col min="12010" max="12010" width="14.6640625" style="421" bestFit="1" customWidth="1"/>
    <col min="12011" max="12011" width="13" style="421" bestFit="1" customWidth="1"/>
    <col min="12012" max="12260" width="9.109375" style="421"/>
    <col min="12261" max="12261" width="10.88671875" style="421" customWidth="1"/>
    <col min="12262" max="12262" width="73.88671875" style="421" customWidth="1"/>
    <col min="12263" max="12263" width="11.44140625" style="421" customWidth="1"/>
    <col min="12264" max="12264" width="19.33203125" style="421" customWidth="1"/>
    <col min="12265" max="12265" width="18" style="421" customWidth="1"/>
    <col min="12266" max="12266" width="14.6640625" style="421" bestFit="1" customWidth="1"/>
    <col min="12267" max="12267" width="13" style="421" bestFit="1" customWidth="1"/>
    <col min="12268" max="12516" width="9.109375" style="421"/>
    <col min="12517" max="12517" width="10.88671875" style="421" customWidth="1"/>
    <col min="12518" max="12518" width="73.88671875" style="421" customWidth="1"/>
    <col min="12519" max="12519" width="11.44140625" style="421" customWidth="1"/>
    <col min="12520" max="12520" width="19.33203125" style="421" customWidth="1"/>
    <col min="12521" max="12521" width="18" style="421" customWidth="1"/>
    <col min="12522" max="12522" width="14.6640625" style="421" bestFit="1" customWidth="1"/>
    <col min="12523" max="12523" width="13" style="421" bestFit="1" customWidth="1"/>
    <col min="12524" max="12772" width="9.109375" style="421"/>
    <col min="12773" max="12773" width="10.88671875" style="421" customWidth="1"/>
    <col min="12774" max="12774" width="73.88671875" style="421" customWidth="1"/>
    <col min="12775" max="12775" width="11.44140625" style="421" customWidth="1"/>
    <col min="12776" max="12776" width="19.33203125" style="421" customWidth="1"/>
    <col min="12777" max="12777" width="18" style="421" customWidth="1"/>
    <col min="12778" max="12778" width="14.6640625" style="421" bestFit="1" customWidth="1"/>
    <col min="12779" max="12779" width="13" style="421" bestFit="1" customWidth="1"/>
    <col min="12780" max="13028" width="9.109375" style="421"/>
    <col min="13029" max="13029" width="10.88671875" style="421" customWidth="1"/>
    <col min="13030" max="13030" width="73.88671875" style="421" customWidth="1"/>
    <col min="13031" max="13031" width="11.44140625" style="421" customWidth="1"/>
    <col min="13032" max="13032" width="19.33203125" style="421" customWidth="1"/>
    <col min="13033" max="13033" width="18" style="421" customWidth="1"/>
    <col min="13034" max="13034" width="14.6640625" style="421" bestFit="1" customWidth="1"/>
    <col min="13035" max="13035" width="13" style="421" bestFit="1" customWidth="1"/>
    <col min="13036" max="13284" width="9.109375" style="421"/>
    <col min="13285" max="13285" width="10.88671875" style="421" customWidth="1"/>
    <col min="13286" max="13286" width="73.88671875" style="421" customWidth="1"/>
    <col min="13287" max="13287" width="11.44140625" style="421" customWidth="1"/>
    <col min="13288" max="13288" width="19.33203125" style="421" customWidth="1"/>
    <col min="13289" max="13289" width="18" style="421" customWidth="1"/>
    <col min="13290" max="13290" width="14.6640625" style="421" bestFit="1" customWidth="1"/>
    <col min="13291" max="13291" width="13" style="421" bestFit="1" customWidth="1"/>
    <col min="13292" max="13540" width="9.109375" style="421"/>
    <col min="13541" max="13541" width="10.88671875" style="421" customWidth="1"/>
    <col min="13542" max="13542" width="73.88671875" style="421" customWidth="1"/>
    <col min="13543" max="13543" width="11.44140625" style="421" customWidth="1"/>
    <col min="13544" max="13544" width="19.33203125" style="421" customWidth="1"/>
    <col min="13545" max="13545" width="18" style="421" customWidth="1"/>
    <col min="13546" max="13546" width="14.6640625" style="421" bestFit="1" customWidth="1"/>
    <col min="13547" max="13547" width="13" style="421" bestFit="1" customWidth="1"/>
    <col min="13548" max="13796" width="9.109375" style="421"/>
    <col min="13797" max="13797" width="10.88671875" style="421" customWidth="1"/>
    <col min="13798" max="13798" width="73.88671875" style="421" customWidth="1"/>
    <col min="13799" max="13799" width="11.44140625" style="421" customWidth="1"/>
    <col min="13800" max="13800" width="19.33203125" style="421" customWidth="1"/>
    <col min="13801" max="13801" width="18" style="421" customWidth="1"/>
    <col min="13802" max="13802" width="14.6640625" style="421" bestFit="1" customWidth="1"/>
    <col min="13803" max="13803" width="13" style="421" bestFit="1" customWidth="1"/>
    <col min="13804" max="14052" width="9.109375" style="421"/>
    <col min="14053" max="14053" width="10.88671875" style="421" customWidth="1"/>
    <col min="14054" max="14054" width="73.88671875" style="421" customWidth="1"/>
    <col min="14055" max="14055" width="11.44140625" style="421" customWidth="1"/>
    <col min="14056" max="14056" width="19.33203125" style="421" customWidth="1"/>
    <col min="14057" max="14057" width="18" style="421" customWidth="1"/>
    <col min="14058" max="14058" width="14.6640625" style="421" bestFit="1" customWidth="1"/>
    <col min="14059" max="14059" width="13" style="421" bestFit="1" customWidth="1"/>
    <col min="14060" max="14308" width="9.109375" style="421"/>
    <col min="14309" max="14309" width="10.88671875" style="421" customWidth="1"/>
    <col min="14310" max="14310" width="73.88671875" style="421" customWidth="1"/>
    <col min="14311" max="14311" width="11.44140625" style="421" customWidth="1"/>
    <col min="14312" max="14312" width="19.33203125" style="421" customWidth="1"/>
    <col min="14313" max="14313" width="18" style="421" customWidth="1"/>
    <col min="14314" max="14314" width="14.6640625" style="421" bestFit="1" customWidth="1"/>
    <col min="14315" max="14315" width="13" style="421" bestFit="1" customWidth="1"/>
    <col min="14316" max="14564" width="9.109375" style="421"/>
    <col min="14565" max="14565" width="10.88671875" style="421" customWidth="1"/>
    <col min="14566" max="14566" width="73.88671875" style="421" customWidth="1"/>
    <col min="14567" max="14567" width="11.44140625" style="421" customWidth="1"/>
    <col min="14568" max="14568" width="19.33203125" style="421" customWidth="1"/>
    <col min="14569" max="14569" width="18" style="421" customWidth="1"/>
    <col min="14570" max="14570" width="14.6640625" style="421" bestFit="1" customWidth="1"/>
    <col min="14571" max="14571" width="13" style="421" bestFit="1" customWidth="1"/>
    <col min="14572" max="14820" width="9.109375" style="421"/>
    <col min="14821" max="14821" width="10.88671875" style="421" customWidth="1"/>
    <col min="14822" max="14822" width="73.88671875" style="421" customWidth="1"/>
    <col min="14823" max="14823" width="11.44140625" style="421" customWidth="1"/>
    <col min="14824" max="14824" width="19.33203125" style="421" customWidth="1"/>
    <col min="14825" max="14825" width="18" style="421" customWidth="1"/>
    <col min="14826" max="14826" width="14.6640625" style="421" bestFit="1" customWidth="1"/>
    <col min="14827" max="14827" width="13" style="421" bestFit="1" customWidth="1"/>
    <col min="14828" max="15076" width="9.109375" style="421"/>
    <col min="15077" max="15077" width="10.88671875" style="421" customWidth="1"/>
    <col min="15078" max="15078" width="73.88671875" style="421" customWidth="1"/>
    <col min="15079" max="15079" width="11.44140625" style="421" customWidth="1"/>
    <col min="15080" max="15080" width="19.33203125" style="421" customWidth="1"/>
    <col min="15081" max="15081" width="18" style="421" customWidth="1"/>
    <col min="15082" max="15082" width="14.6640625" style="421" bestFit="1" customWidth="1"/>
    <col min="15083" max="15083" width="13" style="421" bestFit="1" customWidth="1"/>
    <col min="15084" max="15332" width="9.109375" style="421"/>
    <col min="15333" max="15333" width="10.88671875" style="421" customWidth="1"/>
    <col min="15334" max="15334" width="73.88671875" style="421" customWidth="1"/>
    <col min="15335" max="15335" width="11.44140625" style="421" customWidth="1"/>
    <col min="15336" max="15336" width="19.33203125" style="421" customWidth="1"/>
    <col min="15337" max="15337" width="18" style="421" customWidth="1"/>
    <col min="15338" max="15338" width="14.6640625" style="421" bestFit="1" customWidth="1"/>
    <col min="15339" max="15339" width="13" style="421" bestFit="1" customWidth="1"/>
    <col min="15340" max="15588" width="9.109375" style="421"/>
    <col min="15589" max="15589" width="10.88671875" style="421" customWidth="1"/>
    <col min="15590" max="15590" width="73.88671875" style="421" customWidth="1"/>
    <col min="15591" max="15591" width="11.44140625" style="421" customWidth="1"/>
    <col min="15592" max="15592" width="19.33203125" style="421" customWidth="1"/>
    <col min="15593" max="15593" width="18" style="421" customWidth="1"/>
    <col min="15594" max="15594" width="14.6640625" style="421" bestFit="1" customWidth="1"/>
    <col min="15595" max="15595" width="13" style="421" bestFit="1" customWidth="1"/>
    <col min="15596" max="15844" width="9.109375" style="421"/>
    <col min="15845" max="15845" width="10.88671875" style="421" customWidth="1"/>
    <col min="15846" max="15846" width="73.88671875" style="421" customWidth="1"/>
    <col min="15847" max="15847" width="11.44140625" style="421" customWidth="1"/>
    <col min="15848" max="15848" width="19.33203125" style="421" customWidth="1"/>
    <col min="15849" max="15849" width="18" style="421" customWidth="1"/>
    <col min="15850" max="15850" width="14.6640625" style="421" bestFit="1" customWidth="1"/>
    <col min="15851" max="15851" width="13" style="421" bestFit="1" customWidth="1"/>
    <col min="15852" max="16100" width="9.109375" style="421"/>
    <col min="16101" max="16101" width="10.88671875" style="421" customWidth="1"/>
    <col min="16102" max="16102" width="73.88671875" style="421" customWidth="1"/>
    <col min="16103" max="16103" width="11.44140625" style="421" customWidth="1"/>
    <col min="16104" max="16104" width="19.33203125" style="421" customWidth="1"/>
    <col min="16105" max="16105" width="18" style="421" customWidth="1"/>
    <col min="16106" max="16106" width="14.6640625" style="421" bestFit="1" customWidth="1"/>
    <col min="16107" max="16107" width="13" style="421" bestFit="1" customWidth="1"/>
    <col min="16108" max="16384" width="9.109375" style="421"/>
  </cols>
  <sheetData>
    <row r="2" spans="1:9">
      <c r="B2"/>
      <c r="C2"/>
      <c r="D2"/>
      <c r="F2" s="799"/>
    </row>
    <row r="3" spans="1:9">
      <c r="C3" s="1167"/>
      <c r="D3" s="1167"/>
      <c r="E3" s="1167"/>
    </row>
    <row r="4" spans="1:9">
      <c r="C4" s="672"/>
      <c r="D4" s="450"/>
      <c r="E4" s="672"/>
    </row>
    <row r="5" spans="1:9">
      <c r="C5" s="672"/>
      <c r="D5" s="450"/>
      <c r="E5" s="672"/>
    </row>
    <row r="6" spans="1:9" ht="15" thickBot="1">
      <c r="C6" s="672"/>
      <c r="D6" s="450"/>
      <c r="E6" s="672"/>
    </row>
    <row r="7" spans="1:9" s="420" customFormat="1" ht="29.4" thickBot="1">
      <c r="A7" s="424" t="s">
        <v>1252</v>
      </c>
      <c r="B7" s="424" t="s">
        <v>264</v>
      </c>
      <c r="C7" s="424" t="s">
        <v>11</v>
      </c>
      <c r="D7" s="424" t="s">
        <v>0</v>
      </c>
      <c r="E7" s="802" t="s">
        <v>1253</v>
      </c>
      <c r="F7" s="798" t="s">
        <v>1254</v>
      </c>
      <c r="G7" s="424" t="s">
        <v>1255</v>
      </c>
      <c r="I7" s="1095"/>
    </row>
    <row r="8" spans="1:9" ht="15" thickBot="1">
      <c r="B8" s="1168" t="s">
        <v>29</v>
      </c>
      <c r="C8" s="1169"/>
      <c r="D8" s="425"/>
      <c r="E8" s="696" t="s">
        <v>57</v>
      </c>
    </row>
    <row r="9" spans="1:9" ht="15" thickBot="1">
      <c r="B9" s="674">
        <v>1</v>
      </c>
      <c r="C9" s="675" t="s">
        <v>12</v>
      </c>
      <c r="D9" s="676"/>
      <c r="E9" s="677"/>
    </row>
    <row r="10" spans="1:9">
      <c r="B10" s="1118">
        <v>1.1000000000000001</v>
      </c>
      <c r="C10" s="1119" t="s">
        <v>124</v>
      </c>
      <c r="D10" s="1120" t="s">
        <v>1256</v>
      </c>
      <c r="E10" s="1121">
        <f>'1,1'!H47</f>
        <v>5106</v>
      </c>
      <c r="F10" s="803">
        <v>4580</v>
      </c>
      <c r="G10" s="8">
        <f t="shared" ref="G10:G22" si="0">+E10-F10</f>
        <v>526</v>
      </c>
    </row>
    <row r="11" spans="1:9" ht="16.2">
      <c r="B11" s="633">
        <v>1.2</v>
      </c>
      <c r="C11" s="640" t="s">
        <v>123</v>
      </c>
      <c r="D11" s="634" t="s">
        <v>1712</v>
      </c>
      <c r="E11" s="646">
        <f>'1,2'!H48</f>
        <v>1740</v>
      </c>
      <c r="F11" s="801">
        <v>1563</v>
      </c>
      <c r="G11" s="988">
        <f>+E11-F11</f>
        <v>177</v>
      </c>
    </row>
    <row r="12" spans="1:9" ht="16.2">
      <c r="B12" s="633">
        <v>1.3</v>
      </c>
      <c r="C12" s="640" t="s">
        <v>150</v>
      </c>
      <c r="D12" s="634" t="s">
        <v>1257</v>
      </c>
      <c r="E12" s="646">
        <f>'1,3'!H48</f>
        <v>8743</v>
      </c>
      <c r="F12" s="801">
        <v>7844</v>
      </c>
      <c r="G12" s="8">
        <f t="shared" si="0"/>
        <v>899</v>
      </c>
    </row>
    <row r="13" spans="1:9" ht="16.2">
      <c r="B13" s="633">
        <v>1.4</v>
      </c>
      <c r="C13" s="640" t="s">
        <v>1083</v>
      </c>
      <c r="D13" s="634" t="s">
        <v>1257</v>
      </c>
      <c r="E13" s="646">
        <f>'1,4'!H48</f>
        <v>6687</v>
      </c>
      <c r="F13" s="801">
        <v>6000</v>
      </c>
      <c r="G13" s="8">
        <f t="shared" si="0"/>
        <v>687</v>
      </c>
    </row>
    <row r="14" spans="1:9" ht="16.2">
      <c r="B14" s="633">
        <v>1.5</v>
      </c>
      <c r="C14" s="640" t="s">
        <v>1085</v>
      </c>
      <c r="D14" s="634" t="s">
        <v>1257</v>
      </c>
      <c r="E14" s="646">
        <f>'1,5'!H48</f>
        <v>4464</v>
      </c>
      <c r="F14" s="801">
        <v>4464</v>
      </c>
      <c r="G14" s="8">
        <f t="shared" si="0"/>
        <v>0</v>
      </c>
    </row>
    <row r="15" spans="1:9" ht="16.2">
      <c r="B15" s="633">
        <v>1.6</v>
      </c>
      <c r="C15" s="640" t="s">
        <v>1079</v>
      </c>
      <c r="D15" s="634" t="s">
        <v>1713</v>
      </c>
      <c r="E15" s="646">
        <f>'1,6'!H47</f>
        <v>30570</v>
      </c>
      <c r="F15" s="801">
        <v>27423</v>
      </c>
      <c r="G15" s="8">
        <f t="shared" si="0"/>
        <v>3147</v>
      </c>
    </row>
    <row r="16" spans="1:9" ht="16.2">
      <c r="B16" s="633">
        <v>1.7</v>
      </c>
      <c r="C16" s="640" t="s">
        <v>266</v>
      </c>
      <c r="D16" s="634" t="s">
        <v>1713</v>
      </c>
      <c r="E16" s="646">
        <f>'1,7'!H47</f>
        <v>26258</v>
      </c>
      <c r="F16" s="801">
        <v>23555</v>
      </c>
      <c r="G16" s="8">
        <f t="shared" si="0"/>
        <v>2703</v>
      </c>
    </row>
    <row r="17" spans="1:7" ht="16.2">
      <c r="B17" s="633">
        <v>1.8</v>
      </c>
      <c r="C17" s="640" t="s">
        <v>267</v>
      </c>
      <c r="D17" s="634" t="s">
        <v>1713</v>
      </c>
      <c r="E17" s="646">
        <f>'1,8'!H47</f>
        <v>40193</v>
      </c>
      <c r="F17" s="801">
        <v>36055</v>
      </c>
      <c r="G17" s="8">
        <f t="shared" si="0"/>
        <v>4138</v>
      </c>
    </row>
    <row r="18" spans="1:7" ht="16.2">
      <c r="B18" s="633">
        <v>1.9</v>
      </c>
      <c r="C18" s="640" t="s">
        <v>268</v>
      </c>
      <c r="D18" s="634" t="s">
        <v>1713</v>
      </c>
      <c r="E18" s="646">
        <f>'1,9'!H47</f>
        <v>54128</v>
      </c>
      <c r="F18" s="801">
        <v>48555</v>
      </c>
      <c r="G18" s="8">
        <f t="shared" si="0"/>
        <v>5573</v>
      </c>
    </row>
    <row r="19" spans="1:7" ht="16.2">
      <c r="A19" s="989"/>
      <c r="B19" s="1090">
        <v>1.1000000000000001</v>
      </c>
      <c r="C19" s="640" t="s">
        <v>1594</v>
      </c>
      <c r="D19" s="634" t="s">
        <v>1713</v>
      </c>
      <c r="E19" s="646">
        <f>'1,10'!H45</f>
        <v>25774</v>
      </c>
      <c r="F19" s="801">
        <v>21599</v>
      </c>
      <c r="G19" s="8">
        <f t="shared" si="0"/>
        <v>4175</v>
      </c>
    </row>
    <row r="20" spans="1:7" ht="16.2">
      <c r="B20" s="1090">
        <v>1.1100000000000001</v>
      </c>
      <c r="C20" s="640" t="s">
        <v>58</v>
      </c>
      <c r="D20" s="634" t="s">
        <v>1713</v>
      </c>
      <c r="E20" s="646">
        <f>'1,11'!H48</f>
        <v>68652</v>
      </c>
      <c r="F20" s="801">
        <v>61583</v>
      </c>
      <c r="G20" s="8">
        <f t="shared" si="0"/>
        <v>7069</v>
      </c>
    </row>
    <row r="21" spans="1:7" ht="16.2">
      <c r="B21" s="633">
        <v>1.1200000000000001</v>
      </c>
      <c r="C21" s="640" t="s">
        <v>13</v>
      </c>
      <c r="D21" s="634" t="s">
        <v>1257</v>
      </c>
      <c r="E21" s="646">
        <f>+'1,12'!H48</f>
        <v>16231</v>
      </c>
      <c r="F21" s="801">
        <v>15688</v>
      </c>
      <c r="G21" s="8">
        <f t="shared" si="0"/>
        <v>543</v>
      </c>
    </row>
    <row r="22" spans="1:7" ht="16.2">
      <c r="B22" s="633">
        <v>1.1299999999999999</v>
      </c>
      <c r="C22" s="640" t="s">
        <v>127</v>
      </c>
      <c r="D22" s="634" t="s">
        <v>1257</v>
      </c>
      <c r="E22" s="647">
        <f>+'1,13'!H48</f>
        <v>83813</v>
      </c>
      <c r="F22" s="801">
        <v>55536</v>
      </c>
      <c r="G22" s="8">
        <f t="shared" si="0"/>
        <v>28277</v>
      </c>
    </row>
    <row r="23" spans="1:7">
      <c r="B23" s="635">
        <v>2</v>
      </c>
      <c r="C23" s="639" t="s">
        <v>14</v>
      </c>
      <c r="D23" s="634"/>
      <c r="E23" s="646"/>
      <c r="F23" s="801"/>
      <c r="G23" s="8"/>
    </row>
    <row r="24" spans="1:7" ht="14.25" customHeight="1">
      <c r="A24" s="1132"/>
      <c r="B24" s="633">
        <v>2.1</v>
      </c>
      <c r="C24" s="1122" t="s">
        <v>59</v>
      </c>
      <c r="D24" s="634" t="s">
        <v>1258</v>
      </c>
      <c r="E24" s="646">
        <f>'2,1'!H48</f>
        <v>14711</v>
      </c>
      <c r="F24" s="801">
        <v>13198</v>
      </c>
      <c r="G24" s="8">
        <f>+E24-F24</f>
        <v>1513</v>
      </c>
    </row>
    <row r="25" spans="1:7" ht="14.25" customHeight="1">
      <c r="B25" s="633">
        <v>2.2000000000000002</v>
      </c>
      <c r="C25" s="1122" t="s">
        <v>60</v>
      </c>
      <c r="D25" s="634" t="s">
        <v>1258</v>
      </c>
      <c r="E25" s="646">
        <f>'2,2'!H48</f>
        <v>22989</v>
      </c>
      <c r="F25" s="801">
        <v>20623</v>
      </c>
      <c r="G25" s="8">
        <f>+E25-F25</f>
        <v>2366</v>
      </c>
    </row>
    <row r="26" spans="1:7" ht="14.25" customHeight="1">
      <c r="A26" s="989"/>
      <c r="B26" s="633">
        <v>2.2999999999999998</v>
      </c>
      <c r="C26" s="1123" t="s">
        <v>1632</v>
      </c>
      <c r="D26" s="634" t="s">
        <v>1257</v>
      </c>
      <c r="E26" s="646">
        <f>+'2,3'!H48</f>
        <v>134575</v>
      </c>
      <c r="F26" s="801"/>
      <c r="G26" s="8"/>
    </row>
    <row r="27" spans="1:7" ht="14.25" customHeight="1">
      <c r="B27" s="633">
        <v>2.4</v>
      </c>
      <c r="C27" s="1122" t="s">
        <v>1301</v>
      </c>
      <c r="D27" s="634" t="s">
        <v>1257</v>
      </c>
      <c r="E27" s="646">
        <f>+'2,4'!H48</f>
        <v>95882</v>
      </c>
      <c r="F27" s="801">
        <v>86009</v>
      </c>
      <c r="G27" s="8">
        <f>+E27-F27</f>
        <v>9873</v>
      </c>
    </row>
    <row r="28" spans="1:7" ht="14.25" customHeight="1">
      <c r="B28" s="633">
        <v>2.5</v>
      </c>
      <c r="C28" s="1122" t="s">
        <v>1302</v>
      </c>
      <c r="D28" s="634" t="s">
        <v>1257</v>
      </c>
      <c r="E28" s="646">
        <f>+'2,5'!H48</f>
        <v>141433</v>
      </c>
      <c r="F28" s="801">
        <v>127189</v>
      </c>
      <c r="G28" s="8">
        <f>+E28-F28</f>
        <v>14244</v>
      </c>
    </row>
    <row r="29" spans="1:7">
      <c r="B29" s="635">
        <v>3</v>
      </c>
      <c r="C29" s="639" t="s">
        <v>16</v>
      </c>
      <c r="D29" s="634"/>
      <c r="E29" s="646"/>
      <c r="F29" s="801"/>
      <c r="G29" s="8"/>
    </row>
    <row r="30" spans="1:7">
      <c r="B30" s="633"/>
      <c r="C30" s="639" t="s">
        <v>17</v>
      </c>
      <c r="D30" s="634"/>
      <c r="E30" s="646"/>
      <c r="F30" s="801"/>
      <c r="G30" s="8"/>
    </row>
    <row r="31" spans="1:7" ht="16.2">
      <c r="A31" s="1132"/>
      <c r="B31" s="633">
        <v>3.1</v>
      </c>
      <c r="C31" s="640" t="s">
        <v>61</v>
      </c>
      <c r="D31" s="634" t="s">
        <v>1257</v>
      </c>
      <c r="E31" s="646">
        <f>+'3,1'!H48</f>
        <v>31090</v>
      </c>
      <c r="F31" s="801">
        <v>27889</v>
      </c>
      <c r="G31" s="8">
        <f>+E31-F31</f>
        <v>3201</v>
      </c>
    </row>
    <row r="32" spans="1:7" ht="16.2">
      <c r="A32" s="1132"/>
      <c r="B32" s="633">
        <v>3.2</v>
      </c>
      <c r="C32" s="640" t="s">
        <v>62</v>
      </c>
      <c r="D32" s="634" t="s">
        <v>1257</v>
      </c>
      <c r="E32" s="646">
        <f>+'3,2'!H48</f>
        <v>36781</v>
      </c>
      <c r="F32" s="801">
        <v>32994</v>
      </c>
      <c r="G32" s="8">
        <f>+E32-F32</f>
        <v>3787</v>
      </c>
    </row>
    <row r="33" spans="1:7" ht="16.2">
      <c r="A33" s="1132"/>
      <c r="B33" s="633">
        <v>3.3</v>
      </c>
      <c r="C33" s="640" t="s">
        <v>63</v>
      </c>
      <c r="D33" s="634" t="s">
        <v>1257</v>
      </c>
      <c r="E33" s="646">
        <f>+'3,3'!H48</f>
        <v>73147</v>
      </c>
      <c r="F33" s="801">
        <v>65616</v>
      </c>
      <c r="G33" s="8">
        <f t="shared" ref="G33" si="1">+E33-F33</f>
        <v>7531</v>
      </c>
    </row>
    <row r="34" spans="1:7">
      <c r="B34" s="636"/>
      <c r="C34" s="639" t="s">
        <v>64</v>
      </c>
      <c r="D34" s="634"/>
      <c r="E34" s="646"/>
      <c r="F34" s="801"/>
      <c r="G34" s="8"/>
    </row>
    <row r="35" spans="1:7" ht="16.2">
      <c r="A35" s="1132"/>
      <c r="B35" s="633">
        <v>3.4</v>
      </c>
      <c r="C35" s="640" t="s">
        <v>61</v>
      </c>
      <c r="D35" s="634" t="s">
        <v>1257</v>
      </c>
      <c r="E35" s="646">
        <f>+'3,4'!H48</f>
        <v>39181</v>
      </c>
      <c r="F35" s="801">
        <v>35147</v>
      </c>
      <c r="G35" s="8">
        <f>+E35-F35</f>
        <v>4034</v>
      </c>
    </row>
    <row r="36" spans="1:7" ht="16.2">
      <c r="B36" s="633">
        <v>3.5</v>
      </c>
      <c r="C36" s="640" t="s">
        <v>62</v>
      </c>
      <c r="D36" s="634" t="s">
        <v>1257</v>
      </c>
      <c r="E36" s="646">
        <f>+'3,5'!H48</f>
        <v>45903</v>
      </c>
      <c r="F36" s="801">
        <v>41177</v>
      </c>
      <c r="G36" s="8">
        <f>+E36-F36</f>
        <v>4726</v>
      </c>
    </row>
    <row r="37" spans="1:7" ht="16.2">
      <c r="B37" s="633">
        <v>3.6</v>
      </c>
      <c r="C37" s="640" t="s">
        <v>63</v>
      </c>
      <c r="D37" s="634" t="s">
        <v>1257</v>
      </c>
      <c r="E37" s="646">
        <f>+'3,6'!H48</f>
        <v>83536</v>
      </c>
      <c r="F37" s="801">
        <v>74934</v>
      </c>
      <c r="G37" s="8">
        <f>+E37-F37</f>
        <v>8602</v>
      </c>
    </row>
    <row r="38" spans="1:7">
      <c r="B38" s="636"/>
      <c r="C38" s="639" t="s">
        <v>18</v>
      </c>
      <c r="D38" s="634"/>
      <c r="E38" s="646"/>
      <c r="F38" s="801"/>
      <c r="G38" s="8"/>
    </row>
    <row r="39" spans="1:7" ht="16.2">
      <c r="B39" s="633">
        <v>3.7</v>
      </c>
      <c r="C39" s="640" t="s">
        <v>61</v>
      </c>
      <c r="D39" s="634" t="s">
        <v>1257</v>
      </c>
      <c r="E39" s="646">
        <f>+'3,7'!H48</f>
        <v>51817</v>
      </c>
      <c r="F39" s="801">
        <v>46482</v>
      </c>
      <c r="G39" s="8">
        <f>+E39-F39</f>
        <v>5335</v>
      </c>
    </row>
    <row r="40" spans="1:7" ht="16.2">
      <c r="B40" s="633">
        <v>3.8</v>
      </c>
      <c r="C40" s="640" t="s">
        <v>62</v>
      </c>
      <c r="D40" s="634" t="s">
        <v>1257</v>
      </c>
      <c r="E40" s="646">
        <f>+'3,8'!H48</f>
        <v>55963</v>
      </c>
      <c r="F40" s="801">
        <v>50201</v>
      </c>
      <c r="G40" s="8">
        <f>+E40-F40</f>
        <v>5762</v>
      </c>
    </row>
    <row r="41" spans="1:7" ht="16.2">
      <c r="B41" s="1124">
        <v>3.9</v>
      </c>
      <c r="C41" s="640" t="s">
        <v>63</v>
      </c>
      <c r="D41" s="634" t="s">
        <v>1257</v>
      </c>
      <c r="E41" s="646">
        <f>+'3,9'!H48</f>
        <v>107501</v>
      </c>
      <c r="F41" s="801">
        <v>96431</v>
      </c>
      <c r="G41" s="8">
        <f>+E41-F41</f>
        <v>11070</v>
      </c>
    </row>
    <row r="42" spans="1:7">
      <c r="B42" s="636"/>
      <c r="C42" s="639" t="s">
        <v>65</v>
      </c>
      <c r="D42" s="634"/>
      <c r="E42" s="646"/>
      <c r="F42" s="801"/>
      <c r="G42" s="8"/>
    </row>
    <row r="43" spans="1:7" ht="16.2">
      <c r="B43" s="1090">
        <v>3.1</v>
      </c>
      <c r="C43" s="640" t="s">
        <v>61</v>
      </c>
      <c r="D43" s="634" t="s">
        <v>1257</v>
      </c>
      <c r="E43" s="646">
        <f>+'3,10'!H48</f>
        <v>64264</v>
      </c>
      <c r="F43" s="801">
        <v>57647</v>
      </c>
      <c r="G43" s="8">
        <f>+E43-F43</f>
        <v>6617</v>
      </c>
    </row>
    <row r="44" spans="1:7" ht="16.2">
      <c r="B44" s="633">
        <v>3.11</v>
      </c>
      <c r="C44" s="640" t="s">
        <v>62</v>
      </c>
      <c r="D44" s="634" t="s">
        <v>1257</v>
      </c>
      <c r="E44" s="646">
        <f>+'3,11'!H48</f>
        <v>68410</v>
      </c>
      <c r="F44" s="801">
        <v>61366</v>
      </c>
      <c r="G44" s="8">
        <f>+E44-F44</f>
        <v>7044</v>
      </c>
    </row>
    <row r="45" spans="1:7" ht="16.2">
      <c r="B45" s="633">
        <v>3.12</v>
      </c>
      <c r="C45" s="640" t="s">
        <v>63</v>
      </c>
      <c r="D45" s="634" t="s">
        <v>1257</v>
      </c>
      <c r="E45" s="646">
        <f>+'3,12'!H48</f>
        <v>135618</v>
      </c>
      <c r="F45" s="801">
        <v>121653</v>
      </c>
      <c r="G45" s="8">
        <f>+E45-F45</f>
        <v>13965</v>
      </c>
    </row>
    <row r="46" spans="1:7">
      <c r="B46" s="636"/>
      <c r="C46" s="639" t="s">
        <v>19</v>
      </c>
      <c r="D46" s="634"/>
      <c r="E46" s="646"/>
      <c r="F46" s="801"/>
      <c r="G46" s="8"/>
    </row>
    <row r="47" spans="1:7" ht="16.2">
      <c r="B47" s="633">
        <v>3.13</v>
      </c>
      <c r="C47" s="640" t="s">
        <v>61</v>
      </c>
      <c r="D47" s="634" t="s">
        <v>1257</v>
      </c>
      <c r="E47" s="646">
        <f>+'3,13'!H48</f>
        <v>69954</v>
      </c>
      <c r="F47" s="801">
        <v>62751</v>
      </c>
      <c r="G47" s="8">
        <f>+E47-F47</f>
        <v>7203</v>
      </c>
    </row>
    <row r="48" spans="1:7" ht="16.2">
      <c r="B48" s="633">
        <v>3.14</v>
      </c>
      <c r="C48" s="640" t="s">
        <v>62</v>
      </c>
      <c r="D48" s="634" t="s">
        <v>1257</v>
      </c>
      <c r="E48" s="646">
        <f>+'3,14'!H48</f>
        <v>83945</v>
      </c>
      <c r="F48" s="801">
        <v>75301</v>
      </c>
      <c r="G48" s="8">
        <f>+E48-F48</f>
        <v>8644</v>
      </c>
    </row>
    <row r="49" spans="2:7" ht="16.2">
      <c r="B49" s="633">
        <v>3.15</v>
      </c>
      <c r="C49" s="640" t="s">
        <v>63</v>
      </c>
      <c r="D49" s="634" t="s">
        <v>1257</v>
      </c>
      <c r="E49" s="646">
        <f>+'3,15'!H46</f>
        <v>111826</v>
      </c>
      <c r="F49" s="801">
        <v>100311</v>
      </c>
      <c r="G49" s="8">
        <f>+E49-F49</f>
        <v>11515</v>
      </c>
    </row>
    <row r="50" spans="2:7">
      <c r="B50" s="635">
        <v>4</v>
      </c>
      <c r="C50" s="639" t="s">
        <v>20</v>
      </c>
      <c r="D50" s="634"/>
      <c r="E50" s="646"/>
      <c r="F50" s="801"/>
      <c r="G50" s="8"/>
    </row>
    <row r="51" spans="2:7">
      <c r="B51" s="636"/>
      <c r="C51" s="639" t="s">
        <v>17</v>
      </c>
      <c r="D51" s="634"/>
      <c r="E51" s="646"/>
      <c r="F51" s="801"/>
      <c r="G51" s="8"/>
    </row>
    <row r="52" spans="2:7" ht="16.2">
      <c r="B52" s="633">
        <v>4.0999999999999996</v>
      </c>
      <c r="C52" s="640" t="s">
        <v>21</v>
      </c>
      <c r="D52" s="634" t="s">
        <v>1257</v>
      </c>
      <c r="E52" s="646">
        <f>+'4,1'!H48</f>
        <v>24104</v>
      </c>
      <c r="F52" s="801">
        <v>18125</v>
      </c>
      <c r="G52" s="8">
        <f>+E52-F52</f>
        <v>5979</v>
      </c>
    </row>
    <row r="53" spans="2:7" ht="16.2">
      <c r="B53" s="633">
        <v>4.2</v>
      </c>
      <c r="C53" s="640" t="s">
        <v>63</v>
      </c>
      <c r="D53" s="634" t="s">
        <v>1257</v>
      </c>
      <c r="E53" s="646">
        <f>+'4,2'!H48</f>
        <v>49871</v>
      </c>
      <c r="F53" s="801">
        <v>37500</v>
      </c>
      <c r="G53" s="8">
        <f>+E53-F53</f>
        <v>12371</v>
      </c>
    </row>
    <row r="54" spans="2:7">
      <c r="B54" s="636"/>
      <c r="C54" s="639" t="s">
        <v>64</v>
      </c>
      <c r="D54" s="634"/>
      <c r="E54" s="646"/>
      <c r="F54" s="801"/>
      <c r="G54" s="8"/>
    </row>
    <row r="55" spans="2:7" ht="16.2">
      <c r="B55" s="633">
        <v>4.3</v>
      </c>
      <c r="C55" s="640" t="s">
        <v>21</v>
      </c>
      <c r="D55" s="634" t="s">
        <v>1257</v>
      </c>
      <c r="E55" s="646">
        <f>+'4,3'!H48</f>
        <v>40455</v>
      </c>
      <c r="F55" s="801">
        <v>31424</v>
      </c>
      <c r="G55" s="8">
        <f>+E55-F55</f>
        <v>9031</v>
      </c>
    </row>
    <row r="56" spans="2:7" ht="16.2">
      <c r="B56" s="633">
        <v>4.4000000000000004</v>
      </c>
      <c r="C56" s="640" t="s">
        <v>63</v>
      </c>
      <c r="D56" s="634" t="s">
        <v>1257</v>
      </c>
      <c r="E56" s="646">
        <f>+'4,4'!H48</f>
        <v>88663</v>
      </c>
      <c r="F56" s="801">
        <v>67674</v>
      </c>
      <c r="G56" s="8">
        <f>+E56-F56</f>
        <v>20989</v>
      </c>
    </row>
    <row r="57" spans="2:7">
      <c r="B57" s="636"/>
      <c r="C57" s="639" t="s">
        <v>18</v>
      </c>
      <c r="D57" s="634"/>
      <c r="E57" s="646"/>
      <c r="F57" s="801"/>
      <c r="G57" s="8"/>
    </row>
    <row r="58" spans="2:7" ht="16.2">
      <c r="B58" s="633">
        <v>4.5</v>
      </c>
      <c r="C58" s="640" t="s">
        <v>21</v>
      </c>
      <c r="D58" s="634" t="s">
        <v>1257</v>
      </c>
      <c r="E58" s="646">
        <f>+'4,5'!H48</f>
        <v>33455</v>
      </c>
      <c r="F58" s="801">
        <v>26701</v>
      </c>
      <c r="G58" s="8">
        <f>+E58-F58</f>
        <v>6754</v>
      </c>
    </row>
    <row r="59" spans="2:7" ht="16.2">
      <c r="B59" s="633">
        <v>4.5999999999999996</v>
      </c>
      <c r="C59" s="640" t="s">
        <v>63</v>
      </c>
      <c r="D59" s="634" t="s">
        <v>1257</v>
      </c>
      <c r="E59" s="646">
        <f>+'4,6'!H48</f>
        <v>85107</v>
      </c>
      <c r="F59" s="801">
        <v>65540</v>
      </c>
      <c r="G59" s="8">
        <f>+E59-F59</f>
        <v>19567</v>
      </c>
    </row>
    <row r="60" spans="2:7">
      <c r="B60" s="636"/>
      <c r="C60" s="639" t="s">
        <v>65</v>
      </c>
      <c r="D60" s="634"/>
      <c r="E60" s="646"/>
      <c r="F60" s="801"/>
      <c r="G60" s="8"/>
    </row>
    <row r="61" spans="2:7" ht="16.2">
      <c r="B61" s="633">
        <v>4.7</v>
      </c>
      <c r="C61" s="640" t="s">
        <v>21</v>
      </c>
      <c r="D61" s="634" t="s">
        <v>1257</v>
      </c>
      <c r="E61" s="646">
        <f>+'4,7'!H48</f>
        <v>41719</v>
      </c>
      <c r="F61" s="801">
        <v>32915</v>
      </c>
      <c r="G61" s="8">
        <f>+E61-F61</f>
        <v>8804</v>
      </c>
    </row>
    <row r="62" spans="2:7" ht="16.2">
      <c r="B62" s="633">
        <v>4.8</v>
      </c>
      <c r="C62" s="640" t="s">
        <v>63</v>
      </c>
      <c r="D62" s="634" t="s">
        <v>1257</v>
      </c>
      <c r="E62" s="646">
        <f>+'4,8'!H48</f>
        <v>109211</v>
      </c>
      <c r="F62" s="801">
        <v>83665</v>
      </c>
      <c r="G62" s="8">
        <f>+E62-F62</f>
        <v>25546</v>
      </c>
    </row>
    <row r="63" spans="2:7">
      <c r="B63" s="636"/>
      <c r="C63" s="639" t="s">
        <v>19</v>
      </c>
      <c r="D63" s="634"/>
      <c r="E63" s="646"/>
      <c r="F63" s="801"/>
      <c r="G63" s="8"/>
    </row>
    <row r="64" spans="2:7" ht="16.2">
      <c r="B64" s="633">
        <v>4.9000000000000004</v>
      </c>
      <c r="C64" s="640" t="s">
        <v>21</v>
      </c>
      <c r="D64" s="634" t="s">
        <v>1257</v>
      </c>
      <c r="E64" s="646">
        <f>+'4,9'!H48</f>
        <v>57850</v>
      </c>
      <c r="F64" s="801">
        <v>43500</v>
      </c>
      <c r="G64" s="8">
        <f>+E64-F64</f>
        <v>14350</v>
      </c>
    </row>
    <row r="65" spans="2:7" ht="16.2">
      <c r="B65" s="1090">
        <v>4.0999999999999996</v>
      </c>
      <c r="C65" s="640" t="s">
        <v>63</v>
      </c>
      <c r="D65" s="634" t="s">
        <v>1257</v>
      </c>
      <c r="E65" s="646">
        <f>+'4,10'!H48</f>
        <v>96417</v>
      </c>
      <c r="F65" s="801">
        <v>72500</v>
      </c>
      <c r="G65" s="8">
        <f>+E65-F65</f>
        <v>23917</v>
      </c>
    </row>
    <row r="66" spans="2:7">
      <c r="B66" s="636"/>
      <c r="C66" s="639" t="s">
        <v>66</v>
      </c>
      <c r="D66" s="634"/>
      <c r="E66" s="646"/>
      <c r="F66" s="801"/>
      <c r="G66" s="8"/>
    </row>
    <row r="67" spans="2:7" ht="16.2">
      <c r="B67" s="633">
        <v>4.1100000000000003</v>
      </c>
      <c r="C67" s="640" t="s">
        <v>21</v>
      </c>
      <c r="D67" s="634" t="s">
        <v>1257</v>
      </c>
      <c r="E67" s="646">
        <f>+'4,11'!H48</f>
        <v>61003</v>
      </c>
      <c r="F67" s="801">
        <v>47415</v>
      </c>
      <c r="G67" s="8">
        <f>+E67-F67</f>
        <v>13588</v>
      </c>
    </row>
    <row r="68" spans="2:7" ht="16.2">
      <c r="B68" s="633">
        <v>4.12</v>
      </c>
      <c r="C68" s="640" t="s">
        <v>63</v>
      </c>
      <c r="D68" s="634" t="s">
        <v>1257</v>
      </c>
      <c r="E68" s="646">
        <f>+'4,12'!H48</f>
        <v>109211</v>
      </c>
      <c r="F68" s="801">
        <v>83665</v>
      </c>
      <c r="G68" s="8">
        <f>+E68-F68</f>
        <v>25546</v>
      </c>
    </row>
    <row r="69" spans="2:7">
      <c r="B69" s="635">
        <v>5</v>
      </c>
      <c r="C69" s="639" t="s">
        <v>22</v>
      </c>
      <c r="D69" s="634"/>
      <c r="E69" s="646"/>
      <c r="F69" s="801"/>
      <c r="G69" s="8"/>
    </row>
    <row r="70" spans="2:7" ht="16.2">
      <c r="B70" s="633">
        <v>5.0999999999999996</v>
      </c>
      <c r="C70" s="640" t="s">
        <v>1603</v>
      </c>
      <c r="D70" s="634" t="s">
        <v>1257</v>
      </c>
      <c r="E70" s="646">
        <f>+'5,1'!H51</f>
        <v>500205</v>
      </c>
      <c r="F70" s="801">
        <v>494650</v>
      </c>
      <c r="G70" s="8">
        <f t="shared" ref="G70:G85" si="2">+E70-F70</f>
        <v>5555</v>
      </c>
    </row>
    <row r="71" spans="2:7" ht="16.2">
      <c r="B71" s="633">
        <v>5.2</v>
      </c>
      <c r="C71" s="640" t="s">
        <v>1032</v>
      </c>
      <c r="D71" s="634" t="s">
        <v>1257</v>
      </c>
      <c r="E71" s="646">
        <f>'5,2'!H51</f>
        <v>565978</v>
      </c>
      <c r="F71" s="801">
        <v>550023</v>
      </c>
      <c r="G71" s="8">
        <f t="shared" si="2"/>
        <v>15955</v>
      </c>
    </row>
    <row r="72" spans="2:7" ht="16.2">
      <c r="B72" s="633">
        <v>5.3</v>
      </c>
      <c r="C72" s="640" t="s">
        <v>1642</v>
      </c>
      <c r="D72" s="634" t="s">
        <v>1257</v>
      </c>
      <c r="E72" s="646">
        <f>+'5,3'!H51</f>
        <v>604017</v>
      </c>
      <c r="F72" s="801">
        <v>579698</v>
      </c>
      <c r="G72" s="8">
        <f t="shared" si="2"/>
        <v>24319</v>
      </c>
    </row>
    <row r="73" spans="2:7" ht="16.2">
      <c r="B73" s="633">
        <v>5.4</v>
      </c>
      <c r="C73" s="640" t="s">
        <v>1038</v>
      </c>
      <c r="D73" s="634" t="s">
        <v>1257</v>
      </c>
      <c r="E73" s="646">
        <f>+'5,4'!H51</f>
        <v>625044</v>
      </c>
      <c r="F73" s="801">
        <v>596709</v>
      </c>
      <c r="G73" s="8">
        <f t="shared" si="2"/>
        <v>28335</v>
      </c>
    </row>
    <row r="74" spans="2:7" ht="16.2">
      <c r="B74" s="633">
        <v>5.5</v>
      </c>
      <c r="C74" s="640" t="s">
        <v>1033</v>
      </c>
      <c r="D74" s="634" t="s">
        <v>1257</v>
      </c>
      <c r="E74" s="646">
        <f>'5,5'!H51</f>
        <v>669380</v>
      </c>
      <c r="F74" s="801">
        <v>630560</v>
      </c>
      <c r="G74" s="8">
        <f t="shared" si="2"/>
        <v>38820</v>
      </c>
    </row>
    <row r="75" spans="2:7" ht="16.2">
      <c r="B75" s="633">
        <v>5.6</v>
      </c>
      <c r="C75" s="640" t="s">
        <v>1037</v>
      </c>
      <c r="D75" s="634" t="s">
        <v>1257</v>
      </c>
      <c r="E75" s="646">
        <f>'5,6'!H49</f>
        <v>687152</v>
      </c>
      <c r="F75" s="801">
        <v>634040</v>
      </c>
      <c r="G75" s="8">
        <f t="shared" si="2"/>
        <v>53112</v>
      </c>
    </row>
    <row r="76" spans="2:7" ht="16.2">
      <c r="B76" s="633">
        <v>5.7</v>
      </c>
      <c r="C76" s="640" t="s">
        <v>1042</v>
      </c>
      <c r="D76" s="634" t="s">
        <v>1257</v>
      </c>
      <c r="E76" s="646">
        <f>'5,7'!H51</f>
        <v>726106</v>
      </c>
      <c r="F76" s="801">
        <v>673232</v>
      </c>
      <c r="G76" s="8">
        <f t="shared" si="2"/>
        <v>52874</v>
      </c>
    </row>
    <row r="77" spans="2:7" ht="16.2">
      <c r="B77" s="633">
        <v>5.8</v>
      </c>
      <c r="C77" s="640" t="s">
        <v>1043</v>
      </c>
      <c r="D77" s="634" t="s">
        <v>1257</v>
      </c>
      <c r="E77" s="646">
        <f>'5,8'!H51</f>
        <v>693484</v>
      </c>
      <c r="F77" s="801">
        <v>654663</v>
      </c>
      <c r="G77" s="8">
        <f t="shared" si="2"/>
        <v>38821</v>
      </c>
    </row>
    <row r="78" spans="2:7" ht="16.2">
      <c r="B78" s="633">
        <v>5.9</v>
      </c>
      <c r="C78" s="640" t="s">
        <v>1034</v>
      </c>
      <c r="D78" s="634" t="s">
        <v>1257</v>
      </c>
      <c r="E78" s="646">
        <f>'5,9'!H51</f>
        <v>728613</v>
      </c>
      <c r="F78" s="801">
        <v>717991</v>
      </c>
      <c r="G78" s="8">
        <f t="shared" si="2"/>
        <v>10622</v>
      </c>
    </row>
    <row r="79" spans="2:7" ht="16.2">
      <c r="B79" s="1090">
        <v>5.0999999999999996</v>
      </c>
      <c r="C79" s="640" t="s">
        <v>1643</v>
      </c>
      <c r="D79" s="634" t="s">
        <v>1257</v>
      </c>
      <c r="E79" s="646">
        <f>+'5,10'!H49</f>
        <v>750323</v>
      </c>
      <c r="F79" s="801">
        <v>734314</v>
      </c>
      <c r="G79" s="8">
        <f t="shared" si="2"/>
        <v>16009</v>
      </c>
    </row>
    <row r="80" spans="2:7" ht="16.2">
      <c r="B80" s="633">
        <v>5.1100000000000003</v>
      </c>
      <c r="C80" s="640" t="s">
        <v>1035</v>
      </c>
      <c r="D80" s="634" t="s">
        <v>1257</v>
      </c>
      <c r="E80" s="646">
        <f>'5,11'!H51</f>
        <v>762926</v>
      </c>
      <c r="F80" s="801">
        <v>748375</v>
      </c>
      <c r="G80" s="8">
        <f t="shared" si="2"/>
        <v>14551</v>
      </c>
    </row>
    <row r="81" spans="2:7" ht="16.2">
      <c r="B81" s="633">
        <v>5.12</v>
      </c>
      <c r="C81" s="640" t="s">
        <v>1046</v>
      </c>
      <c r="D81" s="634" t="s">
        <v>1257</v>
      </c>
      <c r="E81" s="646">
        <f>'5,12'!H49</f>
        <v>793084</v>
      </c>
      <c r="F81" s="801">
        <v>768876</v>
      </c>
      <c r="G81" s="8">
        <f t="shared" si="2"/>
        <v>24208</v>
      </c>
    </row>
    <row r="82" spans="2:7" ht="16.2">
      <c r="B82" s="633">
        <v>5.13</v>
      </c>
      <c r="C82" s="640" t="s">
        <v>1606</v>
      </c>
      <c r="D82" s="634" t="s">
        <v>1258</v>
      </c>
      <c r="E82" s="646">
        <f>'5,13'!H49</f>
        <v>84298</v>
      </c>
      <c r="F82" s="801">
        <v>76728</v>
      </c>
      <c r="G82" s="8">
        <f t="shared" si="2"/>
        <v>7570</v>
      </c>
    </row>
    <row r="83" spans="2:7" ht="28.8">
      <c r="B83" s="634">
        <v>5.14</v>
      </c>
      <c r="C83" s="1125" t="s">
        <v>1266</v>
      </c>
      <c r="D83" s="634" t="s">
        <v>1256</v>
      </c>
      <c r="E83" s="647">
        <f>'5,14'!H48</f>
        <v>56419</v>
      </c>
      <c r="F83" s="801">
        <v>47927</v>
      </c>
      <c r="G83" s="816">
        <f t="shared" si="2"/>
        <v>8492</v>
      </c>
    </row>
    <row r="84" spans="2:7" ht="16.2">
      <c r="B84" s="633">
        <v>5.15</v>
      </c>
      <c r="C84" s="640" t="s">
        <v>1641</v>
      </c>
      <c r="D84" s="634" t="s">
        <v>1257</v>
      </c>
      <c r="E84" s="646">
        <f>'5,15'!H48</f>
        <v>520449</v>
      </c>
      <c r="F84" s="801">
        <v>516038</v>
      </c>
      <c r="G84" s="8">
        <f t="shared" si="2"/>
        <v>4411</v>
      </c>
    </row>
    <row r="85" spans="2:7" ht="16.2">
      <c r="B85" s="633">
        <v>5.16</v>
      </c>
      <c r="C85" s="640" t="s">
        <v>280</v>
      </c>
      <c r="D85" s="634" t="s">
        <v>1257</v>
      </c>
      <c r="E85" s="646">
        <f>'5,16'!H48</f>
        <v>435929</v>
      </c>
      <c r="F85" s="801">
        <v>434668</v>
      </c>
      <c r="G85" s="8">
        <f t="shared" si="2"/>
        <v>1261</v>
      </c>
    </row>
    <row r="86" spans="2:7">
      <c r="B86" s="635">
        <v>6</v>
      </c>
      <c r="C86" s="639" t="s">
        <v>23</v>
      </c>
      <c r="D86" s="634"/>
      <c r="E86" s="646"/>
      <c r="F86" s="801"/>
      <c r="G86" s="8"/>
    </row>
    <row r="87" spans="2:7" ht="16.2">
      <c r="B87" s="633">
        <v>6.1</v>
      </c>
      <c r="C87" s="640" t="s">
        <v>67</v>
      </c>
      <c r="D87" s="634" t="s">
        <v>1713</v>
      </c>
      <c r="E87" s="646">
        <f>+'6,1'!H48</f>
        <v>142374</v>
      </c>
      <c r="F87" s="801">
        <v>130123</v>
      </c>
      <c r="G87" s="8">
        <f t="shared" ref="G87:G108" si="3">+E87-F87</f>
        <v>12251</v>
      </c>
    </row>
    <row r="88" spans="2:7" ht="16.2">
      <c r="B88" s="633">
        <v>6.2</v>
      </c>
      <c r="C88" s="640" t="s">
        <v>68</v>
      </c>
      <c r="D88" s="634" t="s">
        <v>1713</v>
      </c>
      <c r="E88" s="646">
        <f>+'6,2'!H48</f>
        <v>137477</v>
      </c>
      <c r="F88" s="801">
        <v>125411</v>
      </c>
      <c r="G88" s="8">
        <f t="shared" si="3"/>
        <v>12066</v>
      </c>
    </row>
    <row r="89" spans="2:7" ht="16.2">
      <c r="B89" s="633">
        <v>6.3</v>
      </c>
      <c r="C89" s="640" t="s">
        <v>1051</v>
      </c>
      <c r="D89" s="634" t="s">
        <v>1713</v>
      </c>
      <c r="E89" s="646">
        <f>+'6,3'!H47</f>
        <v>24431</v>
      </c>
      <c r="F89" s="801">
        <v>23563</v>
      </c>
      <c r="G89" s="8">
        <f t="shared" si="3"/>
        <v>868</v>
      </c>
    </row>
    <row r="90" spans="2:7" ht="16.2">
      <c r="B90" s="633">
        <v>6.4</v>
      </c>
      <c r="C90" s="640" t="s">
        <v>1670</v>
      </c>
      <c r="D90" s="634" t="s">
        <v>1258</v>
      </c>
      <c r="E90" s="646">
        <f>+'6,4'!H48</f>
        <v>8067</v>
      </c>
      <c r="F90" s="801">
        <v>7529</v>
      </c>
      <c r="G90" s="8">
        <f t="shared" si="3"/>
        <v>538</v>
      </c>
    </row>
    <row r="91" spans="2:7" ht="16.2">
      <c r="B91" s="633">
        <v>6.5</v>
      </c>
      <c r="C91" s="640" t="s">
        <v>1676</v>
      </c>
      <c r="D91" s="634" t="s">
        <v>1257</v>
      </c>
      <c r="E91" s="646">
        <f>+'6,5'!H48</f>
        <v>1213886</v>
      </c>
      <c r="F91" s="801">
        <v>646263</v>
      </c>
      <c r="G91" s="8">
        <f t="shared" si="3"/>
        <v>567623</v>
      </c>
    </row>
    <row r="92" spans="2:7" ht="16.2">
      <c r="B92" s="633">
        <v>6.6</v>
      </c>
      <c r="C92" s="640" t="s">
        <v>69</v>
      </c>
      <c r="D92" s="634" t="s">
        <v>1713</v>
      </c>
      <c r="E92" s="646">
        <f>+'6,6'!H48</f>
        <v>197550</v>
      </c>
      <c r="F92" s="801">
        <v>137689</v>
      </c>
      <c r="G92" s="8">
        <f t="shared" si="3"/>
        <v>59861</v>
      </c>
    </row>
    <row r="93" spans="2:7" ht="16.2">
      <c r="B93" s="633">
        <v>6.7</v>
      </c>
      <c r="C93" s="640" t="s">
        <v>70</v>
      </c>
      <c r="D93" s="634" t="s">
        <v>1258</v>
      </c>
      <c r="E93" s="646">
        <f>+'6,7'!H48</f>
        <v>135257</v>
      </c>
      <c r="F93" s="801">
        <v>120283</v>
      </c>
      <c r="G93" s="8">
        <f t="shared" si="3"/>
        <v>14974</v>
      </c>
    </row>
    <row r="94" spans="2:7" ht="16.2">
      <c r="B94" s="633">
        <v>6.8</v>
      </c>
      <c r="C94" s="640" t="s">
        <v>71</v>
      </c>
      <c r="D94" s="634" t="s">
        <v>1258</v>
      </c>
      <c r="E94" s="646">
        <f>+'6,8'!H48</f>
        <v>142861</v>
      </c>
      <c r="F94" s="801">
        <v>128931</v>
      </c>
      <c r="G94" s="8">
        <f t="shared" si="3"/>
        <v>13930</v>
      </c>
    </row>
    <row r="95" spans="2:7" ht="28.5" customHeight="1">
      <c r="B95" s="634">
        <v>6.9</v>
      </c>
      <c r="C95" s="1125" t="s">
        <v>131</v>
      </c>
      <c r="D95" s="634" t="s">
        <v>1258</v>
      </c>
      <c r="E95" s="647">
        <f>+'6,9'!H48</f>
        <v>223581</v>
      </c>
      <c r="F95" s="801">
        <v>138112</v>
      </c>
      <c r="G95" s="8">
        <f t="shared" si="3"/>
        <v>85469</v>
      </c>
    </row>
    <row r="96" spans="2:7" ht="28.8">
      <c r="B96" s="1126">
        <v>6.1</v>
      </c>
      <c r="C96" s="1125" t="s">
        <v>132</v>
      </c>
      <c r="D96" s="634" t="s">
        <v>1258</v>
      </c>
      <c r="E96" s="647">
        <f>+'6,10'!H48</f>
        <v>275829</v>
      </c>
      <c r="F96" s="801">
        <v>161358</v>
      </c>
      <c r="G96" s="8">
        <f t="shared" si="3"/>
        <v>114471</v>
      </c>
    </row>
    <row r="97" spans="1:7" ht="28.8">
      <c r="B97" s="634">
        <v>6.11</v>
      </c>
      <c r="C97" s="1164" t="s">
        <v>1113</v>
      </c>
      <c r="D97" s="634" t="s">
        <v>1713</v>
      </c>
      <c r="E97" s="647">
        <f>+'6,11'!H47</f>
        <v>1202447</v>
      </c>
      <c r="F97" s="801">
        <v>893791</v>
      </c>
      <c r="G97" s="8">
        <f t="shared" si="3"/>
        <v>308656</v>
      </c>
    </row>
    <row r="98" spans="1:7" ht="16.2">
      <c r="B98" s="633">
        <v>6.12</v>
      </c>
      <c r="C98" s="1165" t="s">
        <v>24</v>
      </c>
      <c r="D98" s="634" t="s">
        <v>1258</v>
      </c>
      <c r="E98" s="646">
        <f>+'6,12'!H47</f>
        <v>36950</v>
      </c>
      <c r="F98" s="801">
        <v>33146</v>
      </c>
      <c r="G98" s="8">
        <f t="shared" si="3"/>
        <v>3804</v>
      </c>
    </row>
    <row r="99" spans="1:7" ht="16.2">
      <c r="B99" s="633">
        <v>6.13</v>
      </c>
      <c r="C99" s="1165" t="s">
        <v>25</v>
      </c>
      <c r="D99" s="634" t="s">
        <v>1258</v>
      </c>
      <c r="E99" s="646">
        <f>+'6,13'!H47</f>
        <v>22815</v>
      </c>
      <c r="F99" s="801">
        <v>20466</v>
      </c>
      <c r="G99" s="8">
        <f t="shared" si="3"/>
        <v>2349</v>
      </c>
    </row>
    <row r="100" spans="1:7" ht="16.2">
      <c r="B100" s="633">
        <v>6.14</v>
      </c>
      <c r="C100" s="1165" t="s">
        <v>26</v>
      </c>
      <c r="D100" s="634" t="s">
        <v>1258</v>
      </c>
      <c r="E100" s="646">
        <f>+'6,14'!H47</f>
        <v>20937</v>
      </c>
      <c r="F100" s="801">
        <v>18782</v>
      </c>
      <c r="G100" s="8">
        <f t="shared" si="3"/>
        <v>2155</v>
      </c>
    </row>
    <row r="101" spans="1:7" ht="16.2">
      <c r="B101" s="634">
        <v>6.15</v>
      </c>
      <c r="C101" s="1166" t="s">
        <v>1072</v>
      </c>
      <c r="D101" s="634" t="s">
        <v>1257</v>
      </c>
      <c r="E101" s="647">
        <f>+'6,15'!H48</f>
        <v>89003</v>
      </c>
      <c r="F101" s="801">
        <v>79838</v>
      </c>
      <c r="G101" s="8">
        <f t="shared" si="3"/>
        <v>9165</v>
      </c>
    </row>
    <row r="102" spans="1:7" ht="16.2">
      <c r="B102" s="634">
        <v>6.16</v>
      </c>
      <c r="C102" s="1166" t="s">
        <v>1073</v>
      </c>
      <c r="D102" s="634" t="s">
        <v>1257</v>
      </c>
      <c r="E102" s="647">
        <f>+'6,16'!H48</f>
        <v>110590</v>
      </c>
      <c r="F102" s="801">
        <v>99202</v>
      </c>
      <c r="G102" s="8">
        <f t="shared" si="3"/>
        <v>11388</v>
      </c>
    </row>
    <row r="103" spans="1:7" ht="16.2">
      <c r="B103" s="633">
        <v>6.17</v>
      </c>
      <c r="C103" s="1166" t="s">
        <v>133</v>
      </c>
      <c r="D103" s="634" t="s">
        <v>1257</v>
      </c>
      <c r="E103" s="646">
        <f>+'6,17'!H48</f>
        <v>20516</v>
      </c>
      <c r="F103" s="801">
        <v>18404</v>
      </c>
      <c r="G103" s="8">
        <f t="shared" si="3"/>
        <v>2112</v>
      </c>
    </row>
    <row r="104" spans="1:7" ht="16.2">
      <c r="B104" s="633">
        <v>6.18</v>
      </c>
      <c r="C104" s="1166" t="s">
        <v>134</v>
      </c>
      <c r="D104" s="634" t="s">
        <v>1258</v>
      </c>
      <c r="E104" s="646">
        <f>+'6,18'!H48</f>
        <v>6146</v>
      </c>
      <c r="F104" s="801">
        <v>4788</v>
      </c>
      <c r="G104" s="8">
        <f t="shared" si="3"/>
        <v>1358</v>
      </c>
    </row>
    <row r="105" spans="1:7">
      <c r="B105" s="1090">
        <v>6.19</v>
      </c>
      <c r="C105" s="1165" t="s">
        <v>45</v>
      </c>
      <c r="D105" s="634" t="s">
        <v>1256</v>
      </c>
      <c r="E105" s="646">
        <f>+'6,19'!H48</f>
        <v>15649</v>
      </c>
      <c r="F105" s="801">
        <v>15119</v>
      </c>
      <c r="G105" s="8">
        <f t="shared" si="3"/>
        <v>530</v>
      </c>
    </row>
    <row r="106" spans="1:7">
      <c r="B106" s="1090">
        <v>6.2</v>
      </c>
      <c r="C106" s="1166" t="s">
        <v>46</v>
      </c>
      <c r="D106" s="634" t="s">
        <v>1256</v>
      </c>
      <c r="E106" s="646">
        <f>+'6,20'!H48</f>
        <v>18246</v>
      </c>
      <c r="F106" s="801">
        <v>17929</v>
      </c>
      <c r="G106" s="8">
        <f t="shared" si="3"/>
        <v>317</v>
      </c>
    </row>
    <row r="107" spans="1:7" ht="16.2">
      <c r="B107" s="633">
        <v>6.21</v>
      </c>
      <c r="C107" s="1166" t="s">
        <v>135</v>
      </c>
      <c r="D107" s="634" t="s">
        <v>1257</v>
      </c>
      <c r="E107" s="646">
        <f>+'6,21'!H48</f>
        <v>103641</v>
      </c>
      <c r="F107" s="801">
        <v>92968</v>
      </c>
      <c r="G107" s="8">
        <f t="shared" si="3"/>
        <v>10673</v>
      </c>
    </row>
    <row r="108" spans="1:7" ht="16.2">
      <c r="B108" s="633">
        <v>6.22</v>
      </c>
      <c r="C108" s="1166" t="s">
        <v>136</v>
      </c>
      <c r="D108" s="634" t="s">
        <v>1257</v>
      </c>
      <c r="E108" s="646">
        <f>+'6,22'!H48</f>
        <v>137487</v>
      </c>
      <c r="F108" s="801">
        <v>123328</v>
      </c>
      <c r="G108" s="8">
        <f t="shared" si="3"/>
        <v>14159</v>
      </c>
    </row>
    <row r="109" spans="1:7">
      <c r="B109" s="635">
        <v>7</v>
      </c>
      <c r="C109" s="639" t="s">
        <v>27</v>
      </c>
      <c r="D109" s="634"/>
      <c r="E109" s="646"/>
      <c r="F109" s="801"/>
      <c r="G109" s="8"/>
    </row>
    <row r="110" spans="1:7" ht="16.2">
      <c r="B110" s="633">
        <v>7.1</v>
      </c>
      <c r="C110" s="640" t="s">
        <v>1644</v>
      </c>
      <c r="D110" s="634" t="s">
        <v>1258</v>
      </c>
      <c r="E110" s="646">
        <f>+'7,1'!H47</f>
        <v>91731</v>
      </c>
      <c r="F110" s="801">
        <v>87452</v>
      </c>
      <c r="G110" s="8">
        <f>+E110-F110</f>
        <v>4279</v>
      </c>
    </row>
    <row r="111" spans="1:7">
      <c r="A111" s="989"/>
      <c r="B111" s="633">
        <v>7.2</v>
      </c>
      <c r="C111" s="640" t="s">
        <v>958</v>
      </c>
      <c r="D111" s="634" t="s">
        <v>1235</v>
      </c>
      <c r="E111" s="646">
        <f>+'7,2'!H48</f>
        <v>8330</v>
      </c>
      <c r="F111" s="801">
        <v>8330</v>
      </c>
      <c r="G111" s="8">
        <f>+E111-F111</f>
        <v>0</v>
      </c>
    </row>
    <row r="112" spans="1:7">
      <c r="A112" s="989"/>
      <c r="B112" s="633">
        <v>7.3</v>
      </c>
      <c r="C112" s="640" t="s">
        <v>959</v>
      </c>
      <c r="D112" s="634" t="s">
        <v>1235</v>
      </c>
      <c r="E112" s="646">
        <f>+'7,3'!H48</f>
        <v>6148</v>
      </c>
      <c r="F112" s="801">
        <v>6148</v>
      </c>
      <c r="G112" s="8">
        <f>+E112-F112</f>
        <v>0</v>
      </c>
    </row>
    <row r="113" spans="2:7">
      <c r="B113" s="636"/>
      <c r="C113" s="639" t="s">
        <v>29</v>
      </c>
      <c r="D113" s="634"/>
      <c r="E113" s="646"/>
      <c r="F113" s="801"/>
      <c r="G113" s="8"/>
    </row>
    <row r="114" spans="2:7" ht="28.8">
      <c r="B114" s="637">
        <v>8</v>
      </c>
      <c r="C114" s="641" t="s">
        <v>1024</v>
      </c>
      <c r="D114" s="634"/>
      <c r="E114" s="646"/>
      <c r="F114" s="801"/>
      <c r="G114" s="8"/>
    </row>
    <row r="115" spans="2:7">
      <c r="B115" s="636">
        <v>8.1</v>
      </c>
      <c r="C115" s="639" t="s">
        <v>30</v>
      </c>
      <c r="D115" s="634"/>
      <c r="E115" s="646"/>
      <c r="F115" s="801"/>
      <c r="G115" s="8"/>
    </row>
    <row r="116" spans="2:7">
      <c r="B116" s="633" t="s">
        <v>151</v>
      </c>
      <c r="C116" s="640" t="s">
        <v>72</v>
      </c>
      <c r="D116" s="634" t="s">
        <v>1256</v>
      </c>
      <c r="E116" s="646">
        <f>+'8,1,1'!H48</f>
        <v>80582</v>
      </c>
      <c r="F116" s="801">
        <v>65456</v>
      </c>
      <c r="G116" s="8">
        <f t="shared" ref="G116:G124" si="4">+E116-F116</f>
        <v>15126</v>
      </c>
    </row>
    <row r="117" spans="2:7">
      <c r="B117" s="633" t="s">
        <v>152</v>
      </c>
      <c r="C117" s="640" t="s">
        <v>73</v>
      </c>
      <c r="D117" s="634" t="s">
        <v>1256</v>
      </c>
      <c r="E117" s="646">
        <f>+'8,1,2'!H48</f>
        <v>115384</v>
      </c>
      <c r="F117" s="801">
        <v>91319</v>
      </c>
      <c r="G117" s="8">
        <f t="shared" si="4"/>
        <v>24065</v>
      </c>
    </row>
    <row r="118" spans="2:7">
      <c r="B118" s="633" t="s">
        <v>153</v>
      </c>
      <c r="C118" s="640" t="s">
        <v>74</v>
      </c>
      <c r="D118" s="634" t="s">
        <v>1256</v>
      </c>
      <c r="E118" s="646">
        <f>+'8,1,3'!H48</f>
        <v>148142</v>
      </c>
      <c r="F118" s="801">
        <v>117393</v>
      </c>
      <c r="G118" s="8">
        <f t="shared" si="4"/>
        <v>30749</v>
      </c>
    </row>
    <row r="119" spans="2:7">
      <c r="B119" s="633" t="s">
        <v>154</v>
      </c>
      <c r="C119" s="640" t="s">
        <v>75</v>
      </c>
      <c r="D119" s="634" t="s">
        <v>1256</v>
      </c>
      <c r="E119" s="646">
        <f>+'8,1,4'!H48</f>
        <v>181811</v>
      </c>
      <c r="F119" s="801">
        <v>146439</v>
      </c>
      <c r="G119" s="8">
        <f t="shared" si="4"/>
        <v>35372</v>
      </c>
    </row>
    <row r="120" spans="2:7">
      <c r="B120" s="633" t="s">
        <v>155</v>
      </c>
      <c r="C120" s="640" t="s">
        <v>76</v>
      </c>
      <c r="D120" s="634" t="s">
        <v>1256</v>
      </c>
      <c r="E120" s="646">
        <f>+'8,1,5'!H48</f>
        <v>226588</v>
      </c>
      <c r="F120" s="801">
        <v>179095</v>
      </c>
      <c r="G120" s="8">
        <f t="shared" si="4"/>
        <v>47493</v>
      </c>
    </row>
    <row r="121" spans="2:7">
      <c r="B121" s="633" t="s">
        <v>156</v>
      </c>
      <c r="C121" s="640" t="s">
        <v>77</v>
      </c>
      <c r="D121" s="634" t="s">
        <v>1256</v>
      </c>
      <c r="E121" s="646">
        <f>+'8,1,6'!H48</f>
        <v>285822</v>
      </c>
      <c r="F121" s="801">
        <v>225237</v>
      </c>
      <c r="G121" s="8">
        <f t="shared" si="4"/>
        <v>60585</v>
      </c>
    </row>
    <row r="122" spans="2:7">
      <c r="B122" s="633" t="s">
        <v>157</v>
      </c>
      <c r="C122" s="640" t="s">
        <v>78</v>
      </c>
      <c r="D122" s="634" t="s">
        <v>1256</v>
      </c>
      <c r="E122" s="646">
        <f>+'8,1,7'!H48</f>
        <v>363249</v>
      </c>
      <c r="F122" s="801">
        <v>285762</v>
      </c>
      <c r="G122" s="8">
        <f t="shared" si="4"/>
        <v>77487</v>
      </c>
    </row>
    <row r="123" spans="2:7">
      <c r="B123" s="633" t="s">
        <v>158</v>
      </c>
      <c r="C123" s="640" t="s">
        <v>79</v>
      </c>
      <c r="D123" s="634" t="s">
        <v>1256</v>
      </c>
      <c r="E123" s="646">
        <f>+'8,1,8'!H48</f>
        <v>423596</v>
      </c>
      <c r="F123" s="801">
        <v>335440</v>
      </c>
      <c r="G123" s="8">
        <f t="shared" si="4"/>
        <v>88156</v>
      </c>
    </row>
    <row r="124" spans="2:7">
      <c r="B124" s="633" t="s">
        <v>159</v>
      </c>
      <c r="C124" s="640" t="s">
        <v>80</v>
      </c>
      <c r="D124" s="634" t="s">
        <v>1256</v>
      </c>
      <c r="E124" s="646">
        <f>+'8,1,9'!H48</f>
        <v>593004</v>
      </c>
      <c r="F124" s="801">
        <v>470390</v>
      </c>
      <c r="G124" s="8">
        <f t="shared" si="4"/>
        <v>122614</v>
      </c>
    </row>
    <row r="125" spans="2:7">
      <c r="B125" s="636">
        <v>8.1999999999999993</v>
      </c>
      <c r="C125" s="639" t="s">
        <v>31</v>
      </c>
      <c r="D125" s="634"/>
      <c r="E125" s="646"/>
      <c r="F125" s="801"/>
      <c r="G125" s="8"/>
    </row>
    <row r="126" spans="2:7">
      <c r="B126" s="633" t="s">
        <v>160</v>
      </c>
      <c r="C126" s="640" t="s">
        <v>72</v>
      </c>
      <c r="D126" s="634" t="s">
        <v>1256</v>
      </c>
      <c r="E126" s="646">
        <f>+'8,2,1'!H48</f>
        <v>86134</v>
      </c>
      <c r="F126" s="801">
        <v>69841</v>
      </c>
      <c r="G126" s="8">
        <f t="shared" ref="G126:G134" si="5">+E126-F126</f>
        <v>16293</v>
      </c>
    </row>
    <row r="127" spans="2:7">
      <c r="B127" s="633" t="s">
        <v>161</v>
      </c>
      <c r="C127" s="640" t="s">
        <v>73</v>
      </c>
      <c r="D127" s="634" t="s">
        <v>1256</v>
      </c>
      <c r="E127" s="646">
        <f>+'8,2,2'!H48</f>
        <v>120190</v>
      </c>
      <c r="F127" s="801">
        <v>95114</v>
      </c>
      <c r="G127" s="8">
        <f t="shared" si="5"/>
        <v>25076</v>
      </c>
    </row>
    <row r="128" spans="2:7">
      <c r="B128" s="633" t="s">
        <v>162</v>
      </c>
      <c r="C128" s="640" t="s">
        <v>74</v>
      </c>
      <c r="D128" s="634" t="s">
        <v>1256</v>
      </c>
      <c r="E128" s="646">
        <f>+'8,2,3'!H48</f>
        <v>153429</v>
      </c>
      <c r="F128" s="801">
        <v>121568</v>
      </c>
      <c r="G128" s="8">
        <f t="shared" si="5"/>
        <v>31861</v>
      </c>
    </row>
    <row r="129" spans="2:7">
      <c r="B129" s="633" t="s">
        <v>163</v>
      </c>
      <c r="C129" s="640" t="s">
        <v>75</v>
      </c>
      <c r="D129" s="634" t="s">
        <v>1256</v>
      </c>
      <c r="E129" s="646">
        <f>+'8,2,4'!H48</f>
        <v>188703</v>
      </c>
      <c r="F129" s="801">
        <v>151882</v>
      </c>
      <c r="G129" s="8">
        <f t="shared" si="5"/>
        <v>36821</v>
      </c>
    </row>
    <row r="130" spans="2:7">
      <c r="B130" s="633" t="s">
        <v>164</v>
      </c>
      <c r="C130" s="640" t="s">
        <v>76</v>
      </c>
      <c r="D130" s="634" t="s">
        <v>1256</v>
      </c>
      <c r="E130" s="646">
        <f>+'8,2,5'!H48</f>
        <v>235317</v>
      </c>
      <c r="F130" s="801">
        <v>185988</v>
      </c>
      <c r="G130" s="8">
        <f t="shared" si="5"/>
        <v>49329</v>
      </c>
    </row>
    <row r="131" spans="2:7">
      <c r="B131" s="633" t="s">
        <v>165</v>
      </c>
      <c r="C131" s="640" t="s">
        <v>77</v>
      </c>
      <c r="D131" s="634" t="s">
        <v>1256</v>
      </c>
      <c r="E131" s="646">
        <f>+'8,2,6'!H48</f>
        <v>289893</v>
      </c>
      <c r="F131" s="801">
        <v>228452</v>
      </c>
      <c r="G131" s="8">
        <f t="shared" si="5"/>
        <v>61441</v>
      </c>
    </row>
    <row r="132" spans="2:7">
      <c r="B132" s="633" t="s">
        <v>166</v>
      </c>
      <c r="C132" s="640" t="s">
        <v>78</v>
      </c>
      <c r="D132" s="634" t="s">
        <v>1256</v>
      </c>
      <c r="E132" s="646">
        <f>+'8,2,7'!H48</f>
        <v>364728</v>
      </c>
      <c r="F132" s="801">
        <v>287322</v>
      </c>
      <c r="G132" s="8">
        <f t="shared" si="5"/>
        <v>77406</v>
      </c>
    </row>
    <row r="133" spans="2:7">
      <c r="B133" s="633" t="s">
        <v>167</v>
      </c>
      <c r="C133" s="640" t="s">
        <v>79</v>
      </c>
      <c r="D133" s="634" t="s">
        <v>1256</v>
      </c>
      <c r="E133" s="646">
        <f>+'8,2,8'!H48</f>
        <v>424608</v>
      </c>
      <c r="F133" s="801">
        <v>336632</v>
      </c>
      <c r="G133" s="8">
        <f t="shared" si="5"/>
        <v>87976</v>
      </c>
    </row>
    <row r="134" spans="2:7">
      <c r="B134" s="633" t="s">
        <v>168</v>
      </c>
      <c r="C134" s="640" t="s">
        <v>80</v>
      </c>
      <c r="D134" s="634" t="s">
        <v>1256</v>
      </c>
      <c r="E134" s="646">
        <f>+'8,2,9'!H48</f>
        <v>582741</v>
      </c>
      <c r="F134" s="801">
        <v>462483</v>
      </c>
      <c r="G134" s="8">
        <f t="shared" si="5"/>
        <v>120258</v>
      </c>
    </row>
    <row r="135" spans="2:7">
      <c r="B135" s="637">
        <v>9</v>
      </c>
      <c r="C135" s="641" t="s">
        <v>884</v>
      </c>
      <c r="D135" s="634"/>
      <c r="E135" s="646"/>
      <c r="F135" s="801"/>
      <c r="G135" s="8"/>
    </row>
    <row r="136" spans="2:7">
      <c r="B136" s="633">
        <v>9.1</v>
      </c>
      <c r="C136" s="639" t="s">
        <v>30</v>
      </c>
      <c r="D136" s="634"/>
      <c r="E136" s="646"/>
      <c r="F136" s="801"/>
      <c r="G136" s="8"/>
    </row>
    <row r="137" spans="2:7">
      <c r="B137" s="633" t="s">
        <v>169</v>
      </c>
      <c r="C137" s="640" t="s">
        <v>72</v>
      </c>
      <c r="D137" s="634" t="s">
        <v>1256</v>
      </c>
      <c r="E137" s="646">
        <f>+'9,1,1'!H48</f>
        <v>37488</v>
      </c>
      <c r="F137" s="801">
        <v>29605</v>
      </c>
      <c r="G137" s="8">
        <f t="shared" ref="G137:G145" si="6">+E137-F137</f>
        <v>7883</v>
      </c>
    </row>
    <row r="138" spans="2:7">
      <c r="B138" s="633" t="s">
        <v>170</v>
      </c>
      <c r="C138" s="640" t="s">
        <v>73</v>
      </c>
      <c r="D138" s="634" t="s">
        <v>1256</v>
      </c>
      <c r="E138" s="646">
        <f>+'9,1,2'!H48</f>
        <v>43255</v>
      </c>
      <c r="F138" s="801">
        <v>34160</v>
      </c>
      <c r="G138" s="8">
        <f t="shared" si="6"/>
        <v>9095</v>
      </c>
    </row>
    <row r="139" spans="2:7">
      <c r="B139" s="633" t="s">
        <v>171</v>
      </c>
      <c r="C139" s="640" t="s">
        <v>74</v>
      </c>
      <c r="D139" s="634" t="s">
        <v>1256</v>
      </c>
      <c r="E139" s="646">
        <f>+'9,1,3'!H48</f>
        <v>54790</v>
      </c>
      <c r="F139" s="801">
        <v>43269</v>
      </c>
      <c r="G139" s="8">
        <f t="shared" si="6"/>
        <v>11521</v>
      </c>
    </row>
    <row r="140" spans="2:7">
      <c r="B140" s="633" t="s">
        <v>172</v>
      </c>
      <c r="C140" s="640" t="s">
        <v>75</v>
      </c>
      <c r="D140" s="634" t="s">
        <v>1256</v>
      </c>
      <c r="E140" s="646">
        <f>+'9,1,4'!H48</f>
        <v>63441</v>
      </c>
      <c r="F140" s="801">
        <v>50101</v>
      </c>
      <c r="G140" s="8">
        <f t="shared" si="6"/>
        <v>13340</v>
      </c>
    </row>
    <row r="141" spans="2:7">
      <c r="B141" s="633" t="s">
        <v>173</v>
      </c>
      <c r="C141" s="640" t="s">
        <v>76</v>
      </c>
      <c r="D141" s="634" t="s">
        <v>1256</v>
      </c>
      <c r="E141" s="646">
        <f>+'9,1,5'!H48</f>
        <v>69209</v>
      </c>
      <c r="F141" s="801">
        <v>54729</v>
      </c>
      <c r="G141" s="8">
        <f t="shared" si="6"/>
        <v>14480</v>
      </c>
    </row>
    <row r="142" spans="2:7">
      <c r="B142" s="633" t="s">
        <v>174</v>
      </c>
      <c r="C142" s="640" t="s">
        <v>77</v>
      </c>
      <c r="D142" s="634" t="s">
        <v>1256</v>
      </c>
      <c r="E142" s="646">
        <f>+'9,1,6'!H48</f>
        <v>80744</v>
      </c>
      <c r="F142" s="801">
        <v>63765</v>
      </c>
      <c r="G142" s="8">
        <f t="shared" si="6"/>
        <v>16979</v>
      </c>
    </row>
    <row r="143" spans="2:7">
      <c r="B143" s="633" t="s">
        <v>175</v>
      </c>
      <c r="C143" s="640" t="s">
        <v>78</v>
      </c>
      <c r="D143" s="634" t="s">
        <v>1256</v>
      </c>
      <c r="E143" s="646">
        <f>+'9,1,7'!H48</f>
        <v>86511</v>
      </c>
      <c r="F143" s="801">
        <v>68320</v>
      </c>
      <c r="G143" s="8">
        <f t="shared" si="6"/>
        <v>18191</v>
      </c>
    </row>
    <row r="144" spans="2:7">
      <c r="B144" s="633" t="s">
        <v>176</v>
      </c>
      <c r="C144" s="640" t="s">
        <v>79</v>
      </c>
      <c r="D144" s="634" t="s">
        <v>1256</v>
      </c>
      <c r="E144" s="646">
        <f>+'9,1,8'!H48</f>
        <v>92278</v>
      </c>
      <c r="F144" s="801">
        <v>72874</v>
      </c>
      <c r="G144" s="8">
        <f t="shared" si="6"/>
        <v>19404</v>
      </c>
    </row>
    <row r="145" spans="2:7">
      <c r="B145" s="633" t="s">
        <v>177</v>
      </c>
      <c r="C145" s="640" t="s">
        <v>80</v>
      </c>
      <c r="D145" s="634" t="s">
        <v>1256</v>
      </c>
      <c r="E145" s="646">
        <f>+'9,1,9'!H48</f>
        <v>118248</v>
      </c>
      <c r="F145" s="801">
        <v>92955</v>
      </c>
      <c r="G145" s="8">
        <f t="shared" si="6"/>
        <v>25293</v>
      </c>
    </row>
    <row r="146" spans="2:7">
      <c r="B146" s="637">
        <v>10</v>
      </c>
      <c r="C146" s="641" t="s">
        <v>884</v>
      </c>
      <c r="D146" s="634"/>
      <c r="E146" s="646"/>
      <c r="F146" s="801"/>
      <c r="G146" s="8"/>
    </row>
    <row r="147" spans="2:7">
      <c r="B147" s="633">
        <v>10.1</v>
      </c>
      <c r="C147" s="639" t="s">
        <v>31</v>
      </c>
      <c r="D147" s="634"/>
      <c r="E147" s="646"/>
      <c r="F147" s="801"/>
      <c r="G147" s="8"/>
    </row>
    <row r="148" spans="2:7">
      <c r="B148" s="633" t="s">
        <v>227</v>
      </c>
      <c r="C148" s="640" t="s">
        <v>72</v>
      </c>
      <c r="D148" s="634" t="s">
        <v>1256</v>
      </c>
      <c r="E148" s="646">
        <f>+'10,1,1'!H48</f>
        <v>43040</v>
      </c>
      <c r="F148" s="801">
        <v>33990</v>
      </c>
      <c r="G148" s="8">
        <f t="shared" ref="G148:G156" si="7">+E148-F148</f>
        <v>9050</v>
      </c>
    </row>
    <row r="149" spans="2:7">
      <c r="B149" s="633" t="s">
        <v>228</v>
      </c>
      <c r="C149" s="640" t="s">
        <v>73</v>
      </c>
      <c r="D149" s="634" t="s">
        <v>1256</v>
      </c>
      <c r="E149" s="646">
        <f>+'10,1,2'!H48</f>
        <v>48062</v>
      </c>
      <c r="F149" s="801">
        <v>37955</v>
      </c>
      <c r="G149" s="8">
        <f t="shared" si="7"/>
        <v>10107</v>
      </c>
    </row>
    <row r="150" spans="2:7">
      <c r="B150" s="633" t="s">
        <v>229</v>
      </c>
      <c r="C150" s="640" t="s">
        <v>74</v>
      </c>
      <c r="D150" s="634" t="s">
        <v>1256</v>
      </c>
      <c r="E150" s="646">
        <f>+'10,1,3'!H48</f>
        <v>60077</v>
      </c>
      <c r="F150" s="801">
        <v>47444</v>
      </c>
      <c r="G150" s="8">
        <f t="shared" si="7"/>
        <v>12633</v>
      </c>
    </row>
    <row r="151" spans="2:7">
      <c r="B151" s="633" t="s">
        <v>230</v>
      </c>
      <c r="C151" s="640" t="s">
        <v>75</v>
      </c>
      <c r="D151" s="634" t="s">
        <v>1256</v>
      </c>
      <c r="E151" s="646">
        <f>+'10,1,4'!H48</f>
        <v>70334</v>
      </c>
      <c r="F151" s="801">
        <v>55544</v>
      </c>
      <c r="G151" s="8">
        <f t="shared" si="7"/>
        <v>14790</v>
      </c>
    </row>
    <row r="152" spans="2:7">
      <c r="B152" s="633" t="s">
        <v>231</v>
      </c>
      <c r="C152" s="640" t="s">
        <v>76</v>
      </c>
      <c r="D152" s="634" t="s">
        <v>1256</v>
      </c>
      <c r="E152" s="646">
        <f>+'10,1,5'!H48</f>
        <v>70937</v>
      </c>
      <c r="F152" s="801">
        <v>61549</v>
      </c>
      <c r="G152" s="8">
        <f t="shared" si="7"/>
        <v>9388</v>
      </c>
    </row>
    <row r="153" spans="2:7">
      <c r="B153" s="633" t="s">
        <v>232</v>
      </c>
      <c r="C153" s="640" t="s">
        <v>77</v>
      </c>
      <c r="D153" s="634" t="s">
        <v>1256</v>
      </c>
      <c r="E153" s="646">
        <f>+'10,1,6'!H48</f>
        <v>84815</v>
      </c>
      <c r="F153" s="801">
        <v>66980</v>
      </c>
      <c r="G153" s="8">
        <f t="shared" si="7"/>
        <v>17835</v>
      </c>
    </row>
    <row r="154" spans="2:7">
      <c r="B154" s="633" t="s">
        <v>233</v>
      </c>
      <c r="C154" s="640" t="s">
        <v>78</v>
      </c>
      <c r="D154" s="634" t="s">
        <v>1256</v>
      </c>
      <c r="E154" s="646">
        <f>+'10,1,7'!H47</f>
        <v>87990</v>
      </c>
      <c r="F154" s="801">
        <v>69880</v>
      </c>
      <c r="G154" s="8">
        <f t="shared" si="7"/>
        <v>18110</v>
      </c>
    </row>
    <row r="155" spans="2:7">
      <c r="B155" s="633" t="s">
        <v>234</v>
      </c>
      <c r="C155" s="640" t="s">
        <v>79</v>
      </c>
      <c r="D155" s="634" t="s">
        <v>1256</v>
      </c>
      <c r="E155" s="646">
        <f>+'10,1,8'!H47</f>
        <v>93290</v>
      </c>
      <c r="F155" s="801">
        <v>74066</v>
      </c>
      <c r="G155" s="8">
        <f t="shared" si="7"/>
        <v>19224</v>
      </c>
    </row>
    <row r="156" spans="2:7">
      <c r="B156" s="633" t="s">
        <v>235</v>
      </c>
      <c r="C156" s="640" t="s">
        <v>80</v>
      </c>
      <c r="D156" s="634" t="s">
        <v>1256</v>
      </c>
      <c r="E156" s="646">
        <f>+'10,1,9'!H47</f>
        <v>107985</v>
      </c>
      <c r="F156" s="801">
        <v>85048</v>
      </c>
      <c r="G156" s="8">
        <f t="shared" si="7"/>
        <v>22937</v>
      </c>
    </row>
    <row r="157" spans="2:7">
      <c r="B157" s="637">
        <v>11</v>
      </c>
      <c r="C157" s="642" t="s">
        <v>885</v>
      </c>
      <c r="D157" s="634"/>
      <c r="E157" s="646"/>
      <c r="F157" s="801"/>
      <c r="G157" s="8"/>
    </row>
    <row r="158" spans="2:7">
      <c r="B158" s="636">
        <v>11.1</v>
      </c>
      <c r="C158" s="639" t="s">
        <v>30</v>
      </c>
      <c r="D158" s="634"/>
      <c r="E158" s="646"/>
      <c r="F158" s="801"/>
      <c r="G158" s="8"/>
    </row>
    <row r="159" spans="2:7">
      <c r="B159" s="633" t="s">
        <v>236</v>
      </c>
      <c r="C159" s="640" t="s">
        <v>80</v>
      </c>
      <c r="D159" s="634" t="s">
        <v>1256</v>
      </c>
      <c r="E159" s="646">
        <f>+'11,1,1'!H48</f>
        <v>189047</v>
      </c>
      <c r="F159" s="801">
        <v>146636</v>
      </c>
      <c r="G159" s="8">
        <f t="shared" ref="G159:G165" si="8">+E159-F159</f>
        <v>42411</v>
      </c>
    </row>
    <row r="160" spans="2:7">
      <c r="B160" s="633" t="s">
        <v>237</v>
      </c>
      <c r="C160" s="640" t="s">
        <v>81</v>
      </c>
      <c r="D160" s="634" t="s">
        <v>1256</v>
      </c>
      <c r="E160" s="646">
        <f>+'11,1,2'!H48</f>
        <v>209167</v>
      </c>
      <c r="F160" s="801">
        <v>162405</v>
      </c>
      <c r="G160" s="8">
        <f t="shared" si="8"/>
        <v>46762</v>
      </c>
    </row>
    <row r="161" spans="2:7">
      <c r="B161" s="633" t="s">
        <v>238</v>
      </c>
      <c r="C161" s="640" t="s">
        <v>82</v>
      </c>
      <c r="D161" s="634" t="s">
        <v>1256</v>
      </c>
      <c r="E161" s="646">
        <f>+'11,1,3'!H48</f>
        <v>235993</v>
      </c>
      <c r="F161" s="801">
        <v>183431</v>
      </c>
      <c r="G161" s="8">
        <f t="shared" si="8"/>
        <v>52562</v>
      </c>
    </row>
    <row r="162" spans="2:7">
      <c r="B162" s="633" t="s">
        <v>239</v>
      </c>
      <c r="C162" s="640" t="s">
        <v>83</v>
      </c>
      <c r="D162" s="634" t="s">
        <v>1256</v>
      </c>
      <c r="E162" s="646">
        <f>+'11,1,4'!H48</f>
        <v>248512</v>
      </c>
      <c r="F162" s="801">
        <v>193243</v>
      </c>
      <c r="G162" s="8">
        <f t="shared" si="8"/>
        <v>55269</v>
      </c>
    </row>
    <row r="163" spans="2:7">
      <c r="B163" s="633" t="s">
        <v>240</v>
      </c>
      <c r="C163" s="640" t="s">
        <v>84</v>
      </c>
      <c r="D163" s="634" t="s">
        <v>1256</v>
      </c>
      <c r="E163" s="646">
        <f>+'11,1,5'!H48</f>
        <v>329885</v>
      </c>
      <c r="F163" s="801">
        <v>257021</v>
      </c>
      <c r="G163" s="8">
        <f t="shared" si="8"/>
        <v>72864</v>
      </c>
    </row>
    <row r="164" spans="2:7">
      <c r="B164" s="633" t="s">
        <v>241</v>
      </c>
      <c r="C164" s="640" t="s">
        <v>85</v>
      </c>
      <c r="D164" s="634" t="s">
        <v>1256</v>
      </c>
      <c r="E164" s="646">
        <f>+'11,1,6'!H48</f>
        <v>348664</v>
      </c>
      <c r="F164" s="801">
        <v>271740</v>
      </c>
      <c r="G164" s="8">
        <f t="shared" si="8"/>
        <v>76924</v>
      </c>
    </row>
    <row r="165" spans="2:7">
      <c r="B165" s="633" t="s">
        <v>242</v>
      </c>
      <c r="C165" s="640" t="s">
        <v>86</v>
      </c>
      <c r="D165" s="634" t="s">
        <v>1256</v>
      </c>
      <c r="E165" s="646">
        <f>+'11,1,7'!H48</f>
        <v>370125</v>
      </c>
      <c r="F165" s="801">
        <v>288560</v>
      </c>
      <c r="G165" s="8">
        <f t="shared" si="8"/>
        <v>81565</v>
      </c>
    </row>
    <row r="166" spans="2:7">
      <c r="B166" s="636">
        <v>11.2</v>
      </c>
      <c r="C166" s="639" t="s">
        <v>31</v>
      </c>
      <c r="D166" s="634"/>
      <c r="E166" s="646"/>
      <c r="F166" s="801"/>
      <c r="G166" s="8"/>
    </row>
    <row r="167" spans="2:7">
      <c r="B167" s="633" t="s">
        <v>243</v>
      </c>
      <c r="C167" s="640" t="s">
        <v>80</v>
      </c>
      <c r="D167" s="634" t="s">
        <v>1256</v>
      </c>
      <c r="E167" s="646">
        <f>+'11,2,1'!H48</f>
        <v>215128</v>
      </c>
      <c r="F167" s="801">
        <v>167078</v>
      </c>
      <c r="G167" s="8">
        <f t="shared" ref="G167:G173" si="9">+E167-F167</f>
        <v>48050</v>
      </c>
    </row>
    <row r="168" spans="2:7">
      <c r="B168" s="633" t="s">
        <v>244</v>
      </c>
      <c r="C168" s="640" t="s">
        <v>81</v>
      </c>
      <c r="D168" s="634" t="s">
        <v>1256</v>
      </c>
      <c r="E168" s="646">
        <f>+'11,2,2'!H48</f>
        <v>228482</v>
      </c>
      <c r="F168" s="801">
        <v>177544</v>
      </c>
      <c r="G168" s="8">
        <f t="shared" si="9"/>
        <v>50938</v>
      </c>
    </row>
    <row r="169" spans="2:7">
      <c r="B169" s="633" t="s">
        <v>245</v>
      </c>
      <c r="C169" s="640" t="s">
        <v>82</v>
      </c>
      <c r="D169" s="634" t="s">
        <v>1256</v>
      </c>
      <c r="E169" s="646">
        <f>+'11,2,3'!H48</f>
        <v>253064</v>
      </c>
      <c r="F169" s="801">
        <v>196811</v>
      </c>
      <c r="G169" s="8">
        <f t="shared" si="9"/>
        <v>56253</v>
      </c>
    </row>
    <row r="170" spans="2:7">
      <c r="B170" s="633" t="s">
        <v>246</v>
      </c>
      <c r="C170" s="640" t="s">
        <v>83</v>
      </c>
      <c r="D170" s="634" t="s">
        <v>1256</v>
      </c>
      <c r="E170" s="646">
        <f>+'11,2,4'!H48</f>
        <v>273550</v>
      </c>
      <c r="F170" s="801">
        <v>212867</v>
      </c>
      <c r="G170" s="8">
        <f t="shared" si="9"/>
        <v>60683</v>
      </c>
    </row>
    <row r="171" spans="2:7">
      <c r="B171" s="633" t="s">
        <v>247</v>
      </c>
      <c r="C171" s="640" t="s">
        <v>84</v>
      </c>
      <c r="D171" s="634" t="s">
        <v>1256</v>
      </c>
      <c r="E171" s="646">
        <f>+'11,2,5'!H48</f>
        <v>347455</v>
      </c>
      <c r="F171" s="801">
        <v>232491</v>
      </c>
      <c r="G171" s="8">
        <f t="shared" si="9"/>
        <v>114964</v>
      </c>
    </row>
    <row r="172" spans="2:7">
      <c r="B172" s="633" t="s">
        <v>248</v>
      </c>
      <c r="C172" s="640" t="s">
        <v>85</v>
      </c>
      <c r="D172" s="634" t="s">
        <v>1256</v>
      </c>
      <c r="E172" s="646">
        <f>+'11,2,6'!H48</f>
        <v>386221</v>
      </c>
      <c r="F172" s="801">
        <v>257021</v>
      </c>
      <c r="G172" s="8">
        <f t="shared" si="9"/>
        <v>129200</v>
      </c>
    </row>
    <row r="173" spans="2:7">
      <c r="B173" s="633" t="s">
        <v>249</v>
      </c>
      <c r="C173" s="640" t="s">
        <v>86</v>
      </c>
      <c r="D173" s="634" t="s">
        <v>1256</v>
      </c>
      <c r="E173" s="646">
        <f>+'11,2,7'!H48</f>
        <v>408755</v>
      </c>
      <c r="F173" s="801">
        <v>271740</v>
      </c>
      <c r="G173" s="8">
        <f t="shared" si="9"/>
        <v>137015</v>
      </c>
    </row>
    <row r="174" spans="2:7">
      <c r="B174" s="637">
        <v>12</v>
      </c>
      <c r="C174" s="643" t="s">
        <v>886</v>
      </c>
      <c r="D174" s="634"/>
      <c r="E174" s="646"/>
      <c r="F174" s="801"/>
      <c r="G174" s="8"/>
    </row>
    <row r="175" spans="2:7">
      <c r="B175" s="633">
        <v>12.1</v>
      </c>
      <c r="C175" s="639" t="s">
        <v>30</v>
      </c>
      <c r="D175" s="634"/>
      <c r="E175" s="646"/>
      <c r="F175" s="801"/>
      <c r="G175" s="8"/>
    </row>
    <row r="176" spans="2:7">
      <c r="B176" s="633" t="s">
        <v>250</v>
      </c>
      <c r="C176" s="640" t="s">
        <v>80</v>
      </c>
      <c r="D176" s="634" t="s">
        <v>1256</v>
      </c>
      <c r="E176" s="646">
        <f>+'12,1,1'!H47</f>
        <v>663803</v>
      </c>
      <c r="F176" s="801">
        <v>524071</v>
      </c>
      <c r="G176" s="8">
        <f t="shared" ref="G176:G182" si="10">+E176-F176</f>
        <v>139732</v>
      </c>
    </row>
    <row r="177" spans="2:7">
      <c r="B177" s="633" t="s">
        <v>251</v>
      </c>
      <c r="C177" s="640" t="s">
        <v>81</v>
      </c>
      <c r="D177" s="634" t="s">
        <v>1256</v>
      </c>
      <c r="E177" s="646">
        <f>+'12,1,2'!H47</f>
        <v>821124</v>
      </c>
      <c r="F177" s="801">
        <v>650533</v>
      </c>
      <c r="G177" s="8">
        <f t="shared" si="10"/>
        <v>170591</v>
      </c>
    </row>
    <row r="178" spans="2:7">
      <c r="B178" s="633" t="s">
        <v>252</v>
      </c>
      <c r="C178" s="640" t="s">
        <v>82</v>
      </c>
      <c r="D178" s="634" t="s">
        <v>1256</v>
      </c>
      <c r="E178" s="646">
        <f>+'12,1,3'!H47</f>
        <v>860993</v>
      </c>
      <c r="F178" s="801">
        <v>714681</v>
      </c>
      <c r="G178" s="8">
        <f t="shared" si="10"/>
        <v>146312</v>
      </c>
    </row>
    <row r="179" spans="2:7">
      <c r="B179" s="633" t="s">
        <v>253</v>
      </c>
      <c r="C179" s="640" t="s">
        <v>83</v>
      </c>
      <c r="D179" s="634" t="s">
        <v>1256</v>
      </c>
      <c r="E179" s="646">
        <f>+'12,1,4'!H47</f>
        <v>1206923</v>
      </c>
      <c r="F179" s="801">
        <v>1072382</v>
      </c>
      <c r="G179" s="8">
        <f t="shared" si="10"/>
        <v>134541</v>
      </c>
    </row>
    <row r="180" spans="2:7">
      <c r="B180" s="633" t="s">
        <v>254</v>
      </c>
      <c r="C180" s="640" t="s">
        <v>84</v>
      </c>
      <c r="D180" s="634" t="s">
        <v>1256</v>
      </c>
      <c r="E180" s="646">
        <f>+'12,1,5'!H47</f>
        <v>1502213</v>
      </c>
      <c r="F180" s="801">
        <v>1230421</v>
      </c>
      <c r="G180" s="8">
        <f t="shared" si="10"/>
        <v>271792</v>
      </c>
    </row>
    <row r="181" spans="2:7">
      <c r="B181" s="633" t="s">
        <v>255</v>
      </c>
      <c r="C181" s="640" t="s">
        <v>85</v>
      </c>
      <c r="D181" s="634" t="s">
        <v>1256</v>
      </c>
      <c r="E181" s="646">
        <f>+'12,1,6'!H47</f>
        <v>1691757</v>
      </c>
      <c r="F181" s="801">
        <v>1455838</v>
      </c>
      <c r="G181" s="8">
        <f t="shared" si="10"/>
        <v>235919</v>
      </c>
    </row>
    <row r="182" spans="2:7">
      <c r="B182" s="633" t="s">
        <v>256</v>
      </c>
      <c r="C182" s="640" t="s">
        <v>86</v>
      </c>
      <c r="D182" s="634" t="s">
        <v>1256</v>
      </c>
      <c r="E182" s="646">
        <f>+'12,1,7'!H47</f>
        <v>1944376</v>
      </c>
      <c r="F182" s="801">
        <v>1661207</v>
      </c>
      <c r="G182" s="8">
        <f t="shared" si="10"/>
        <v>283169</v>
      </c>
    </row>
    <row r="183" spans="2:7">
      <c r="B183" s="636">
        <v>12.2</v>
      </c>
      <c r="C183" s="639" t="s">
        <v>31</v>
      </c>
      <c r="D183" s="634"/>
      <c r="E183" s="646"/>
      <c r="F183" s="801"/>
      <c r="G183" s="8"/>
    </row>
    <row r="184" spans="2:7">
      <c r="B184" s="633" t="s">
        <v>257</v>
      </c>
      <c r="C184" s="640" t="s">
        <v>80</v>
      </c>
      <c r="D184" s="634" t="s">
        <v>1256</v>
      </c>
      <c r="E184" s="646">
        <f>+'12,2,1'!H48</f>
        <v>689884</v>
      </c>
      <c r="F184" s="801">
        <v>544513</v>
      </c>
      <c r="G184" s="8">
        <f t="shared" ref="G184:G190" si="11">+E184-F184</f>
        <v>145371</v>
      </c>
    </row>
    <row r="185" spans="2:7">
      <c r="B185" s="633" t="s">
        <v>258</v>
      </c>
      <c r="C185" s="640" t="s">
        <v>81</v>
      </c>
      <c r="D185" s="634" t="s">
        <v>1256</v>
      </c>
      <c r="E185" s="646">
        <f>+'12,2,2'!H48</f>
        <v>840440</v>
      </c>
      <c r="F185" s="801">
        <v>665672</v>
      </c>
      <c r="G185" s="8">
        <f t="shared" si="11"/>
        <v>174768</v>
      </c>
    </row>
    <row r="186" spans="2:7">
      <c r="B186" s="633" t="s">
        <v>259</v>
      </c>
      <c r="C186" s="640" t="s">
        <v>82</v>
      </c>
      <c r="D186" s="634" t="s">
        <v>1256</v>
      </c>
      <c r="E186" s="646">
        <f>+'12,2,3'!H48</f>
        <v>878064</v>
      </c>
      <c r="F186" s="801">
        <v>728061</v>
      </c>
      <c r="G186" s="8">
        <f t="shared" si="11"/>
        <v>150003</v>
      </c>
    </row>
    <row r="187" spans="2:7">
      <c r="B187" s="633" t="s">
        <v>260</v>
      </c>
      <c r="C187" s="640" t="s">
        <v>83</v>
      </c>
      <c r="D187" s="634" t="s">
        <v>1256</v>
      </c>
      <c r="E187" s="646">
        <f>+'12,2,4'!H48</f>
        <v>1231962</v>
      </c>
      <c r="F187" s="801">
        <v>1099016</v>
      </c>
      <c r="G187" s="8">
        <f t="shared" si="11"/>
        <v>132946</v>
      </c>
    </row>
    <row r="188" spans="2:7">
      <c r="B188" s="633" t="s">
        <v>261</v>
      </c>
      <c r="C188" s="640" t="s">
        <v>84</v>
      </c>
      <c r="D188" s="634" t="s">
        <v>1256</v>
      </c>
      <c r="E188" s="646">
        <f>+'12,2,5'!H48</f>
        <v>1519784</v>
      </c>
      <c r="F188" s="801">
        <v>1205046</v>
      </c>
      <c r="G188" s="8">
        <f t="shared" si="11"/>
        <v>314738</v>
      </c>
    </row>
    <row r="189" spans="2:7">
      <c r="B189" s="633" t="s">
        <v>262</v>
      </c>
      <c r="C189" s="640" t="s">
        <v>85</v>
      </c>
      <c r="D189" s="634" t="s">
        <v>1256</v>
      </c>
      <c r="E189" s="646">
        <f>+'12,2,6'!H48</f>
        <v>1729314</v>
      </c>
      <c r="F189" s="801">
        <v>1472484</v>
      </c>
      <c r="G189" s="8">
        <f t="shared" si="11"/>
        <v>256830</v>
      </c>
    </row>
    <row r="190" spans="2:7">
      <c r="B190" s="633" t="s">
        <v>263</v>
      </c>
      <c r="C190" s="640" t="s">
        <v>86</v>
      </c>
      <c r="D190" s="634" t="s">
        <v>1256</v>
      </c>
      <c r="E190" s="646">
        <f>+'12,2,7'!H48</f>
        <v>1983006</v>
      </c>
      <c r="F190" s="801">
        <v>1678390</v>
      </c>
      <c r="G190" s="8">
        <f t="shared" si="11"/>
        <v>304616</v>
      </c>
    </row>
    <row r="191" spans="2:7" ht="33.75" customHeight="1">
      <c r="B191" s="637">
        <v>13</v>
      </c>
      <c r="C191" s="641" t="s">
        <v>87</v>
      </c>
      <c r="D191" s="645"/>
      <c r="E191" s="641"/>
      <c r="F191" s="801"/>
      <c r="G191" s="8"/>
    </row>
    <row r="192" spans="2:7">
      <c r="B192" s="636">
        <v>13.1</v>
      </c>
      <c r="C192" s="639" t="s">
        <v>30</v>
      </c>
      <c r="D192" s="634"/>
      <c r="E192" s="648"/>
      <c r="F192" s="801"/>
      <c r="G192" s="8"/>
    </row>
    <row r="193" spans="2:7">
      <c r="B193" s="633" t="s">
        <v>179</v>
      </c>
      <c r="C193" s="640" t="s">
        <v>1103</v>
      </c>
      <c r="D193" s="634" t="s">
        <v>1256</v>
      </c>
      <c r="E193" s="1127">
        <f>+'13,1,1'!H48</f>
        <v>17268</v>
      </c>
      <c r="F193" s="801">
        <v>13748</v>
      </c>
      <c r="G193" s="8">
        <f t="shared" ref="G193:G205" si="12">+E193-F193</f>
        <v>3520</v>
      </c>
    </row>
    <row r="194" spans="2:7">
      <c r="B194" s="633" t="s">
        <v>180</v>
      </c>
      <c r="C194" s="640" t="s">
        <v>178</v>
      </c>
      <c r="D194" s="634" t="s">
        <v>1256</v>
      </c>
      <c r="E194" s="646">
        <f>+'13,1,2'!H48</f>
        <v>25902</v>
      </c>
      <c r="F194" s="801">
        <v>20623</v>
      </c>
      <c r="G194" s="8">
        <f t="shared" si="12"/>
        <v>5279</v>
      </c>
    </row>
    <row r="195" spans="2:7">
      <c r="B195" s="633" t="s">
        <v>181</v>
      </c>
      <c r="C195" s="640" t="s">
        <v>1096</v>
      </c>
      <c r="D195" s="634" t="s">
        <v>1256</v>
      </c>
      <c r="E195" s="646">
        <f>+'13,1,3'!H48</f>
        <v>27628</v>
      </c>
      <c r="F195" s="801">
        <v>21997</v>
      </c>
      <c r="G195" s="8">
        <f t="shared" si="12"/>
        <v>5631</v>
      </c>
    </row>
    <row r="196" spans="2:7">
      <c r="B196" s="633" t="s">
        <v>182</v>
      </c>
      <c r="C196" s="640" t="s">
        <v>1097</v>
      </c>
      <c r="D196" s="634" t="s">
        <v>1256</v>
      </c>
      <c r="E196" s="646">
        <f>+'13,1,4'!H48</f>
        <v>31879</v>
      </c>
      <c r="F196" s="801">
        <v>27027</v>
      </c>
      <c r="G196" s="8">
        <f t="shared" si="12"/>
        <v>4852</v>
      </c>
    </row>
    <row r="197" spans="2:7">
      <c r="B197" s="633" t="s">
        <v>1645</v>
      </c>
      <c r="C197" s="640" t="s">
        <v>1094</v>
      </c>
      <c r="D197" s="634" t="s">
        <v>1256</v>
      </c>
      <c r="E197" s="646">
        <f>'13,1,5'!H48</f>
        <v>42042</v>
      </c>
      <c r="F197" s="801">
        <v>33240</v>
      </c>
      <c r="G197" s="8">
        <f t="shared" si="12"/>
        <v>8802</v>
      </c>
    </row>
    <row r="198" spans="2:7">
      <c r="B198" s="633" t="s">
        <v>1646</v>
      </c>
      <c r="C198" s="640" t="s">
        <v>1098</v>
      </c>
      <c r="D198" s="634" t="s">
        <v>1256</v>
      </c>
      <c r="E198" s="646">
        <f>+'13,1,6'!H48</f>
        <v>48062</v>
      </c>
      <c r="F198" s="801">
        <v>37955</v>
      </c>
      <c r="G198" s="8">
        <f t="shared" si="12"/>
        <v>10107</v>
      </c>
    </row>
    <row r="199" spans="2:7">
      <c r="B199" s="633" t="s">
        <v>1647</v>
      </c>
      <c r="C199" s="640" t="s">
        <v>1099</v>
      </c>
      <c r="D199" s="634" t="s">
        <v>1256</v>
      </c>
      <c r="E199" s="646">
        <f>+'13,1,7'!H48</f>
        <v>52431</v>
      </c>
      <c r="F199" s="801">
        <v>41406</v>
      </c>
      <c r="G199" s="8">
        <f t="shared" si="12"/>
        <v>11025</v>
      </c>
    </row>
    <row r="200" spans="2:7">
      <c r="B200" s="633" t="s">
        <v>1648</v>
      </c>
      <c r="C200" s="640" t="s">
        <v>1100</v>
      </c>
      <c r="D200" s="634" t="s">
        <v>1256</v>
      </c>
      <c r="E200" s="646">
        <f>+'13,1,8'!H48</f>
        <v>57674</v>
      </c>
      <c r="F200" s="801">
        <v>45546</v>
      </c>
      <c r="G200" s="8">
        <f t="shared" si="12"/>
        <v>12128</v>
      </c>
    </row>
    <row r="201" spans="2:7">
      <c r="B201" s="633" t="s">
        <v>1649</v>
      </c>
      <c r="C201" s="640" t="s">
        <v>80</v>
      </c>
      <c r="D201" s="634" t="s">
        <v>1256</v>
      </c>
      <c r="E201" s="646">
        <f>+'13,1,9'!H48</f>
        <v>64765</v>
      </c>
      <c r="F201" s="801">
        <v>51135</v>
      </c>
      <c r="G201" s="8">
        <f t="shared" si="12"/>
        <v>13630</v>
      </c>
    </row>
    <row r="202" spans="2:7">
      <c r="B202" s="633" t="s">
        <v>1650</v>
      </c>
      <c r="C202" s="640" t="s">
        <v>81</v>
      </c>
      <c r="D202" s="634" t="s">
        <v>1256</v>
      </c>
      <c r="E202" s="646">
        <f>+'13,1,10'!H48</f>
        <v>72092</v>
      </c>
      <c r="F202" s="801">
        <v>56933</v>
      </c>
      <c r="G202" s="8">
        <f t="shared" si="12"/>
        <v>15159</v>
      </c>
    </row>
    <row r="203" spans="2:7">
      <c r="B203" s="633" t="s">
        <v>1651</v>
      </c>
      <c r="C203" s="640" t="s">
        <v>82</v>
      </c>
      <c r="D203" s="634" t="s">
        <v>1256</v>
      </c>
      <c r="E203" s="646">
        <f>+'13,1,11'!H48</f>
        <v>96854</v>
      </c>
      <c r="F203" s="801">
        <v>75941</v>
      </c>
      <c r="G203" s="8">
        <f t="shared" si="12"/>
        <v>20913</v>
      </c>
    </row>
    <row r="204" spans="2:7">
      <c r="B204" s="633" t="s">
        <v>1652</v>
      </c>
      <c r="C204" s="640" t="s">
        <v>88</v>
      </c>
      <c r="D204" s="634" t="s">
        <v>1256</v>
      </c>
      <c r="E204" s="646">
        <f>+'13,1,12'!H48</f>
        <v>110586</v>
      </c>
      <c r="F204" s="801">
        <v>86786</v>
      </c>
      <c r="G204" s="8">
        <f t="shared" si="12"/>
        <v>23800</v>
      </c>
    </row>
    <row r="205" spans="2:7">
      <c r="B205" s="633" t="s">
        <v>1653</v>
      </c>
      <c r="C205" s="640" t="s">
        <v>83</v>
      </c>
      <c r="D205" s="634" t="s">
        <v>1256</v>
      </c>
      <c r="E205" s="646">
        <f>+'13,1,13'!H48</f>
        <v>129810</v>
      </c>
      <c r="F205" s="801">
        <v>101968</v>
      </c>
      <c r="G205" s="8">
        <f t="shared" si="12"/>
        <v>27842</v>
      </c>
    </row>
    <row r="206" spans="2:7" ht="30" customHeight="1">
      <c r="B206" s="637">
        <v>14</v>
      </c>
      <c r="C206" s="641" t="s">
        <v>87</v>
      </c>
      <c r="D206" s="645"/>
      <c r="E206" s="641"/>
      <c r="F206" s="801"/>
      <c r="G206" s="8"/>
    </row>
    <row r="207" spans="2:7">
      <c r="B207" s="636">
        <v>14.1</v>
      </c>
      <c r="C207" s="639" t="s">
        <v>33</v>
      </c>
      <c r="D207" s="634"/>
      <c r="E207" s="648"/>
      <c r="F207" s="801"/>
      <c r="G207" s="8"/>
    </row>
    <row r="208" spans="2:7">
      <c r="B208" s="633" t="s">
        <v>184</v>
      </c>
      <c r="C208" s="640" t="s">
        <v>178</v>
      </c>
      <c r="D208" s="634" t="s">
        <v>1256</v>
      </c>
      <c r="E208" s="646">
        <f>+'14,1,1'!H48</f>
        <v>27974</v>
      </c>
      <c r="F208" s="801">
        <v>20623</v>
      </c>
      <c r="G208" s="8">
        <f t="shared" ref="G208:G219" si="13">+E208-F208</f>
        <v>7351</v>
      </c>
    </row>
    <row r="209" spans="2:7">
      <c r="B209" s="633" t="s">
        <v>185</v>
      </c>
      <c r="C209" s="640" t="s">
        <v>1096</v>
      </c>
      <c r="D209" s="634" t="s">
        <v>1256</v>
      </c>
      <c r="E209" s="646">
        <f>+'14,1,2'!H48</f>
        <v>29838</v>
      </c>
      <c r="F209" s="801">
        <v>21997</v>
      </c>
      <c r="G209" s="8">
        <f t="shared" si="13"/>
        <v>7841</v>
      </c>
    </row>
    <row r="210" spans="2:7">
      <c r="B210" s="633" t="s">
        <v>186</v>
      </c>
      <c r="C210" s="640" t="s">
        <v>1097</v>
      </c>
      <c r="D210" s="634" t="s">
        <v>1256</v>
      </c>
      <c r="E210" s="646">
        <f>+'14,1,3'!H48</f>
        <v>34429</v>
      </c>
      <c r="F210" s="801">
        <v>32996</v>
      </c>
      <c r="G210" s="8">
        <f t="shared" si="13"/>
        <v>1433</v>
      </c>
    </row>
    <row r="211" spans="2:7">
      <c r="B211" s="633" t="s">
        <v>1115</v>
      </c>
      <c r="C211" s="640" t="s">
        <v>1094</v>
      </c>
      <c r="D211" s="634" t="s">
        <v>1256</v>
      </c>
      <c r="E211" s="646">
        <f>'14,1,4'!H48</f>
        <v>45405</v>
      </c>
      <c r="F211" s="801">
        <v>39271</v>
      </c>
      <c r="G211" s="8">
        <f t="shared" si="13"/>
        <v>6134</v>
      </c>
    </row>
    <row r="212" spans="2:7">
      <c r="B212" s="633" t="s">
        <v>1117</v>
      </c>
      <c r="C212" s="640" t="s">
        <v>1098</v>
      </c>
      <c r="D212" s="634" t="s">
        <v>1256</v>
      </c>
      <c r="E212" s="646">
        <f>+'14,1,5'!H48</f>
        <v>51907</v>
      </c>
      <c r="F212" s="801">
        <v>45546</v>
      </c>
      <c r="G212" s="8">
        <f t="shared" si="13"/>
        <v>6361</v>
      </c>
    </row>
    <row r="213" spans="2:7">
      <c r="B213" s="633" t="s">
        <v>1118</v>
      </c>
      <c r="C213" s="640" t="s">
        <v>1099</v>
      </c>
      <c r="D213" s="634" t="s">
        <v>1256</v>
      </c>
      <c r="E213" s="646">
        <f>+'14,1,6'!H48</f>
        <v>56625</v>
      </c>
      <c r="F213" s="801">
        <v>50607</v>
      </c>
      <c r="G213" s="8">
        <f t="shared" si="13"/>
        <v>6018</v>
      </c>
    </row>
    <row r="214" spans="2:7">
      <c r="B214" s="633" t="s">
        <v>1120</v>
      </c>
      <c r="C214" s="640" t="s">
        <v>1100</v>
      </c>
      <c r="D214" s="634" t="s">
        <v>1256</v>
      </c>
      <c r="E214" s="646">
        <f>+'14,1,7'!H48</f>
        <v>62288</v>
      </c>
      <c r="F214" s="801">
        <v>56933</v>
      </c>
      <c r="G214" s="8">
        <f t="shared" si="13"/>
        <v>5355</v>
      </c>
    </row>
    <row r="215" spans="2:7">
      <c r="B215" s="633" t="s">
        <v>1122</v>
      </c>
      <c r="C215" s="640" t="s">
        <v>80</v>
      </c>
      <c r="D215" s="634" t="s">
        <v>1256</v>
      </c>
      <c r="E215" s="646">
        <f>+'14,1,8'!H48</f>
        <v>82391</v>
      </c>
      <c r="F215" s="801">
        <v>65066</v>
      </c>
      <c r="G215" s="8">
        <f t="shared" si="13"/>
        <v>17325</v>
      </c>
    </row>
    <row r="216" spans="2:7">
      <c r="B216" s="633" t="s">
        <v>1123</v>
      </c>
      <c r="C216" s="640" t="s">
        <v>81</v>
      </c>
      <c r="D216" s="634" t="s">
        <v>1256</v>
      </c>
      <c r="E216" s="646">
        <f>+'14,1,9'!H48</f>
        <v>87385</v>
      </c>
      <c r="F216" s="801">
        <v>69010</v>
      </c>
      <c r="G216" s="8">
        <f t="shared" si="13"/>
        <v>18375</v>
      </c>
    </row>
    <row r="217" spans="2:7">
      <c r="B217" s="633" t="s">
        <v>1124</v>
      </c>
      <c r="C217" s="640" t="s">
        <v>82</v>
      </c>
      <c r="D217" s="634" t="s">
        <v>1256</v>
      </c>
      <c r="E217" s="646">
        <f>+'14,1,10'!H48</f>
        <v>107485</v>
      </c>
      <c r="F217" s="801">
        <v>84337</v>
      </c>
      <c r="G217" s="8">
        <f t="shared" si="13"/>
        <v>23148</v>
      </c>
    </row>
    <row r="218" spans="2:7">
      <c r="B218" s="633" t="s">
        <v>1125</v>
      </c>
      <c r="C218" s="640" t="s">
        <v>88</v>
      </c>
      <c r="D218" s="634" t="s">
        <v>1256</v>
      </c>
      <c r="E218" s="646">
        <f>+'14,1,11'!H48</f>
        <v>117452</v>
      </c>
      <c r="F218" s="801">
        <v>92208</v>
      </c>
      <c r="G218" s="8">
        <f t="shared" si="13"/>
        <v>25244</v>
      </c>
    </row>
    <row r="219" spans="2:7">
      <c r="B219" s="633" t="s">
        <v>1126</v>
      </c>
      <c r="C219" s="640" t="s">
        <v>83</v>
      </c>
      <c r="D219" s="634" t="s">
        <v>1256</v>
      </c>
      <c r="E219" s="646">
        <f>+'14,1,12'!H48</f>
        <v>140195</v>
      </c>
      <c r="F219" s="801">
        <v>101968</v>
      </c>
      <c r="G219" s="8">
        <f t="shared" si="13"/>
        <v>38227</v>
      </c>
    </row>
    <row r="220" spans="2:7" ht="30" customHeight="1">
      <c r="B220" s="637">
        <v>15</v>
      </c>
      <c r="C220" s="641" t="s">
        <v>91</v>
      </c>
      <c r="D220" s="645"/>
      <c r="E220" s="641"/>
      <c r="F220" s="801"/>
      <c r="G220" s="8"/>
    </row>
    <row r="221" spans="2:7">
      <c r="B221" s="633">
        <v>15.1</v>
      </c>
      <c r="C221" s="639" t="s">
        <v>32</v>
      </c>
      <c r="D221" s="634"/>
      <c r="E221" s="648"/>
      <c r="F221" s="801"/>
      <c r="G221" s="8"/>
    </row>
    <row r="222" spans="2:7">
      <c r="B222" s="633" t="s">
        <v>187</v>
      </c>
      <c r="C222" s="640" t="s">
        <v>1103</v>
      </c>
      <c r="D222" s="634" t="s">
        <v>1256</v>
      </c>
      <c r="E222" s="646">
        <f>+'15,1,1'!H47</f>
        <v>57032</v>
      </c>
      <c r="F222" s="801">
        <v>54980</v>
      </c>
      <c r="G222" s="8">
        <f t="shared" ref="G222:G229" si="14">+E222-F222</f>
        <v>2052</v>
      </c>
    </row>
    <row r="223" spans="2:7">
      <c r="B223" s="633" t="s">
        <v>188</v>
      </c>
      <c r="C223" s="640" t="s">
        <v>178</v>
      </c>
      <c r="D223" s="634" t="s">
        <v>1256</v>
      </c>
      <c r="E223" s="646">
        <f>+'15,1,2'!H47</f>
        <v>80152</v>
      </c>
      <c r="F223" s="801">
        <v>76932</v>
      </c>
      <c r="G223" s="8">
        <f t="shared" si="14"/>
        <v>3220</v>
      </c>
    </row>
    <row r="224" spans="2:7">
      <c r="B224" s="633" t="s">
        <v>189</v>
      </c>
      <c r="C224" s="640" t="s">
        <v>1096</v>
      </c>
      <c r="D224" s="634" t="s">
        <v>1256</v>
      </c>
      <c r="E224" s="646">
        <f>+'15,1,3'!H47</f>
        <v>106941</v>
      </c>
      <c r="F224" s="801">
        <v>104241</v>
      </c>
      <c r="G224" s="8">
        <f t="shared" si="14"/>
        <v>2700</v>
      </c>
    </row>
    <row r="225" spans="2:7">
      <c r="B225" s="633" t="s">
        <v>190</v>
      </c>
      <c r="C225" s="640" t="s">
        <v>1097</v>
      </c>
      <c r="D225" s="634" t="s">
        <v>1256</v>
      </c>
      <c r="E225" s="646">
        <f>+'15,1,4'!H47</f>
        <v>149146</v>
      </c>
      <c r="F225" s="801">
        <v>146982</v>
      </c>
      <c r="G225" s="8">
        <f t="shared" si="14"/>
        <v>2164</v>
      </c>
    </row>
    <row r="226" spans="2:7">
      <c r="B226" s="633" t="s">
        <v>1128</v>
      </c>
      <c r="C226" s="640" t="s">
        <v>1094</v>
      </c>
      <c r="D226" s="634" t="s">
        <v>1256</v>
      </c>
      <c r="E226" s="646">
        <f>'15,1,5'!H47</f>
        <v>209979</v>
      </c>
      <c r="F226" s="801">
        <v>174944</v>
      </c>
      <c r="G226" s="8">
        <f t="shared" si="14"/>
        <v>35035</v>
      </c>
    </row>
    <row r="227" spans="2:7">
      <c r="B227" s="633" t="s">
        <v>1129</v>
      </c>
      <c r="C227" s="640" t="s">
        <v>1098</v>
      </c>
      <c r="D227" s="634" t="s">
        <v>1256</v>
      </c>
      <c r="E227" s="646">
        <f>+'15,1,6'!H47</f>
        <v>253583</v>
      </c>
      <c r="F227" s="801">
        <v>236864</v>
      </c>
      <c r="G227" s="8">
        <f t="shared" si="14"/>
        <v>16719</v>
      </c>
    </row>
    <row r="228" spans="2:7">
      <c r="B228" s="633" t="s">
        <v>1130</v>
      </c>
      <c r="C228" s="640" t="s">
        <v>1099</v>
      </c>
      <c r="D228" s="634" t="s">
        <v>1256</v>
      </c>
      <c r="E228" s="646">
        <f>+'15,1,7'!H47</f>
        <v>317862</v>
      </c>
      <c r="F228" s="801">
        <v>305334</v>
      </c>
      <c r="G228" s="8">
        <f t="shared" si="14"/>
        <v>12528</v>
      </c>
    </row>
    <row r="229" spans="2:7">
      <c r="B229" s="633" t="s">
        <v>1131</v>
      </c>
      <c r="C229" s="640" t="s">
        <v>1100</v>
      </c>
      <c r="D229" s="634" t="s">
        <v>1256</v>
      </c>
      <c r="E229" s="646">
        <f>+'15,1,8'!H47</f>
        <v>403717</v>
      </c>
      <c r="F229" s="801">
        <v>376049</v>
      </c>
      <c r="G229" s="8">
        <f t="shared" si="14"/>
        <v>27668</v>
      </c>
    </row>
    <row r="230" spans="2:7" ht="28.8">
      <c r="B230" s="637">
        <v>16</v>
      </c>
      <c r="C230" s="644" t="s">
        <v>91</v>
      </c>
      <c r="D230" s="645"/>
      <c r="E230" s="641"/>
      <c r="F230" s="801"/>
      <c r="G230" s="8"/>
    </row>
    <row r="231" spans="2:7">
      <c r="B231" s="636">
        <v>16.100000000000001</v>
      </c>
      <c r="C231" s="639" t="s">
        <v>33</v>
      </c>
      <c r="D231" s="634"/>
      <c r="E231" s="648"/>
      <c r="F231" s="801"/>
      <c r="G231" s="8"/>
    </row>
    <row r="232" spans="2:7">
      <c r="B232" s="633" t="s">
        <v>191</v>
      </c>
      <c r="C232" s="640" t="s">
        <v>1095</v>
      </c>
      <c r="D232" s="634" t="s">
        <v>1256</v>
      </c>
      <c r="E232" s="646">
        <f>+'16,1,1'!H47</f>
        <v>82224</v>
      </c>
      <c r="F232" s="801">
        <v>76932</v>
      </c>
      <c r="G232" s="8">
        <f t="shared" ref="G232:G238" si="15">+E232-F232</f>
        <v>5292</v>
      </c>
    </row>
    <row r="233" spans="2:7">
      <c r="B233" s="633" t="s">
        <v>192</v>
      </c>
      <c r="C233" s="640" t="s">
        <v>1096</v>
      </c>
      <c r="D233" s="634" t="s">
        <v>1256</v>
      </c>
      <c r="E233" s="646">
        <f>+'16,1,2'!H47</f>
        <v>109151</v>
      </c>
      <c r="F233" s="801">
        <v>104241</v>
      </c>
      <c r="G233" s="8">
        <f t="shared" si="15"/>
        <v>4910</v>
      </c>
    </row>
    <row r="234" spans="2:7">
      <c r="B234" s="633" t="s">
        <v>193</v>
      </c>
      <c r="C234" s="640" t="s">
        <v>1097</v>
      </c>
      <c r="D234" s="634" t="s">
        <v>1256</v>
      </c>
      <c r="E234" s="646">
        <f>+'16,1,3'!H47</f>
        <v>151696</v>
      </c>
      <c r="F234" s="801">
        <v>154597</v>
      </c>
      <c r="G234" s="8">
        <f t="shared" si="15"/>
        <v>-2901</v>
      </c>
    </row>
    <row r="235" spans="2:7">
      <c r="B235" s="633" t="s">
        <v>1132</v>
      </c>
      <c r="C235" s="640" t="s">
        <v>1094</v>
      </c>
      <c r="D235" s="634" t="s">
        <v>1256</v>
      </c>
      <c r="E235" s="646">
        <f>'16,1,4'!H47</f>
        <v>162672</v>
      </c>
      <c r="F235" s="801">
        <v>160871</v>
      </c>
      <c r="G235" s="8">
        <f t="shared" si="15"/>
        <v>1801</v>
      </c>
    </row>
    <row r="236" spans="2:7">
      <c r="B236" s="633" t="s">
        <v>1133</v>
      </c>
      <c r="C236" s="640" t="s">
        <v>1098</v>
      </c>
      <c r="D236" s="634" t="s">
        <v>1256</v>
      </c>
      <c r="E236" s="646">
        <f>+'16,1,5'!H47</f>
        <v>257428</v>
      </c>
      <c r="F236" s="801">
        <v>244455</v>
      </c>
      <c r="G236" s="8">
        <f t="shared" si="15"/>
        <v>12973</v>
      </c>
    </row>
    <row r="237" spans="2:7">
      <c r="B237" s="633" t="s">
        <v>1134</v>
      </c>
      <c r="C237" s="640" t="s">
        <v>1099</v>
      </c>
      <c r="D237" s="634" t="s">
        <v>1256</v>
      </c>
      <c r="E237" s="646">
        <f>+'16,1,6'!H47</f>
        <v>322056</v>
      </c>
      <c r="F237" s="801">
        <v>314536</v>
      </c>
      <c r="G237" s="8">
        <f t="shared" si="15"/>
        <v>7520</v>
      </c>
    </row>
    <row r="238" spans="2:7">
      <c r="B238" s="633" t="s">
        <v>1135</v>
      </c>
      <c r="C238" s="640" t="s">
        <v>1100</v>
      </c>
      <c r="D238" s="634" t="s">
        <v>1256</v>
      </c>
      <c r="E238" s="646">
        <f>+'16,1,7'!H47</f>
        <v>408331</v>
      </c>
      <c r="F238" s="801">
        <v>387436</v>
      </c>
      <c r="G238" s="8">
        <f t="shared" si="15"/>
        <v>20895</v>
      </c>
    </row>
    <row r="239" spans="2:7" ht="28.8">
      <c r="B239" s="637">
        <v>17</v>
      </c>
      <c r="C239" s="644" t="s">
        <v>92</v>
      </c>
      <c r="D239" s="645"/>
      <c r="E239" s="641"/>
      <c r="F239" s="801"/>
      <c r="G239" s="8"/>
    </row>
    <row r="240" spans="2:7">
      <c r="B240" s="636">
        <v>17.100000000000001</v>
      </c>
      <c r="C240" s="639" t="s">
        <v>32</v>
      </c>
      <c r="D240" s="634"/>
      <c r="E240" s="646"/>
      <c r="F240" s="801"/>
      <c r="G240" s="8"/>
    </row>
    <row r="241" spans="1:7">
      <c r="B241" s="633" t="s">
        <v>194</v>
      </c>
      <c r="C241" s="640" t="s">
        <v>80</v>
      </c>
      <c r="D241" s="634" t="s">
        <v>1256</v>
      </c>
      <c r="E241" s="646">
        <f>+'17,1,1'!H47</f>
        <v>556983</v>
      </c>
      <c r="F241" s="801">
        <v>509693</v>
      </c>
      <c r="G241" s="8">
        <f t="shared" ref="G241:G247" si="16">+E241-F241</f>
        <v>47290</v>
      </c>
    </row>
    <row r="242" spans="1:7">
      <c r="B242" s="633" t="s">
        <v>195</v>
      </c>
      <c r="C242" s="640" t="s">
        <v>81</v>
      </c>
      <c r="D242" s="634" t="s">
        <v>1256</v>
      </c>
      <c r="E242" s="646">
        <f>+'17,1,2'!H47</f>
        <v>636602</v>
      </c>
      <c r="F242" s="801">
        <v>583419</v>
      </c>
      <c r="G242" s="8">
        <f t="shared" si="16"/>
        <v>53183</v>
      </c>
    </row>
    <row r="243" spans="1:7">
      <c r="B243" s="633" t="s">
        <v>196</v>
      </c>
      <c r="C243" s="640" t="s">
        <v>82</v>
      </c>
      <c r="D243" s="634" t="s">
        <v>1256</v>
      </c>
      <c r="E243" s="646">
        <f>+'17,1,3'!H48</f>
        <v>831997</v>
      </c>
      <c r="F243" s="801">
        <v>761753</v>
      </c>
      <c r="G243" s="8">
        <f t="shared" si="16"/>
        <v>70244</v>
      </c>
    </row>
    <row r="244" spans="1:7">
      <c r="B244" s="633" t="s">
        <v>197</v>
      </c>
      <c r="C244" s="640" t="s">
        <v>88</v>
      </c>
      <c r="D244" s="634" t="s">
        <v>1256</v>
      </c>
      <c r="E244" s="646">
        <f>+'17,1,4'!H48</f>
        <v>1038802</v>
      </c>
      <c r="F244" s="801">
        <v>932733</v>
      </c>
      <c r="G244" s="8">
        <f t="shared" si="16"/>
        <v>106069</v>
      </c>
    </row>
    <row r="245" spans="1:7">
      <c r="B245" s="633" t="s">
        <v>198</v>
      </c>
      <c r="C245" s="640" t="s">
        <v>83</v>
      </c>
      <c r="D245" s="634" t="s">
        <v>1256</v>
      </c>
      <c r="E245" s="646">
        <f>+'17,1,5'!H48</f>
        <v>1480961</v>
      </c>
      <c r="F245" s="801">
        <v>1333678</v>
      </c>
      <c r="G245" s="8">
        <f t="shared" si="16"/>
        <v>147283</v>
      </c>
    </row>
    <row r="246" spans="1:7">
      <c r="A246" s="989"/>
      <c r="B246" s="633" t="s">
        <v>199</v>
      </c>
      <c r="C246" s="640" t="s">
        <v>89</v>
      </c>
      <c r="D246" s="634" t="s">
        <v>1256</v>
      </c>
      <c r="E246" s="646">
        <f>+'17,1,6'!H48</f>
        <v>1841636</v>
      </c>
      <c r="F246" s="801">
        <v>1809647</v>
      </c>
      <c r="G246" s="8">
        <f t="shared" si="16"/>
        <v>31989</v>
      </c>
    </row>
    <row r="247" spans="1:7">
      <c r="A247" s="989"/>
      <c r="B247" s="633" t="s">
        <v>200</v>
      </c>
      <c r="C247" s="640" t="s">
        <v>90</v>
      </c>
      <c r="D247" s="634" t="s">
        <v>1256</v>
      </c>
      <c r="E247" s="646">
        <f>+'17,1,7'!H48</f>
        <v>2098320</v>
      </c>
      <c r="F247" s="801">
        <v>2063582</v>
      </c>
      <c r="G247" s="8">
        <f t="shared" si="16"/>
        <v>34738</v>
      </c>
    </row>
    <row r="248" spans="1:7" ht="28.8">
      <c r="B248" s="637">
        <v>18</v>
      </c>
      <c r="C248" s="644" t="s">
        <v>92</v>
      </c>
      <c r="D248" s="645"/>
      <c r="E248" s="641"/>
      <c r="F248" s="801"/>
      <c r="G248" s="8"/>
    </row>
    <row r="249" spans="1:7">
      <c r="B249" s="636">
        <v>18.100000000000001</v>
      </c>
      <c r="C249" s="639" t="s">
        <v>33</v>
      </c>
      <c r="D249" s="634"/>
      <c r="E249" s="648"/>
      <c r="F249" s="801"/>
      <c r="G249" s="8"/>
    </row>
    <row r="250" spans="1:7">
      <c r="B250" s="633" t="s">
        <v>201</v>
      </c>
      <c r="C250" s="640" t="s">
        <v>80</v>
      </c>
      <c r="D250" s="634" t="s">
        <v>1256</v>
      </c>
      <c r="E250" s="646">
        <f>+'18,1,1'!H48</f>
        <v>573783</v>
      </c>
      <c r="F250" s="801">
        <v>523962</v>
      </c>
      <c r="G250" s="8">
        <f t="shared" ref="G250:G256" si="17">+E250-F250</f>
        <v>49821</v>
      </c>
    </row>
    <row r="251" spans="1:7">
      <c r="B251" s="633" t="s">
        <v>202</v>
      </c>
      <c r="C251" s="640" t="s">
        <v>81</v>
      </c>
      <c r="D251" s="634" t="s">
        <v>1256</v>
      </c>
      <c r="E251" s="646">
        <f>+'18,1,2'!H48</f>
        <v>650965</v>
      </c>
      <c r="F251" s="801">
        <v>595282</v>
      </c>
      <c r="G251" s="8">
        <f t="shared" si="17"/>
        <v>55683</v>
      </c>
    </row>
    <row r="252" spans="1:7">
      <c r="B252" s="633" t="s">
        <v>203</v>
      </c>
      <c r="C252" s="640" t="s">
        <v>82</v>
      </c>
      <c r="D252" s="634" t="s">
        <v>1256</v>
      </c>
      <c r="E252" s="646">
        <f>+'18,1,3'!H48</f>
        <v>841647</v>
      </c>
      <c r="F252" s="801">
        <v>769911</v>
      </c>
      <c r="G252" s="8">
        <f t="shared" si="17"/>
        <v>71736</v>
      </c>
    </row>
    <row r="253" spans="1:7">
      <c r="B253" s="633" t="s">
        <v>204</v>
      </c>
      <c r="C253" s="640" t="s">
        <v>88</v>
      </c>
      <c r="D253" s="634" t="s">
        <v>1256</v>
      </c>
      <c r="E253" s="646">
        <f>+'18,1,4'!H48</f>
        <v>1044635</v>
      </c>
      <c r="F253" s="801">
        <v>937918</v>
      </c>
      <c r="G253" s="8">
        <f t="shared" si="17"/>
        <v>106717</v>
      </c>
    </row>
    <row r="254" spans="1:7">
      <c r="B254" s="633" t="s">
        <v>205</v>
      </c>
      <c r="C254" s="640" t="s">
        <v>83</v>
      </c>
      <c r="D254" s="634" t="s">
        <v>1256</v>
      </c>
      <c r="E254" s="646">
        <f>+'18,1,5'!H48</f>
        <v>1490262</v>
      </c>
      <c r="F254" s="801">
        <v>1333381</v>
      </c>
      <c r="G254" s="8">
        <f t="shared" si="17"/>
        <v>156881</v>
      </c>
    </row>
    <row r="255" spans="1:7">
      <c r="A255" s="989"/>
      <c r="B255" s="633" t="s">
        <v>206</v>
      </c>
      <c r="C255" s="640" t="s">
        <v>89</v>
      </c>
      <c r="D255" s="634" t="s">
        <v>1256</v>
      </c>
      <c r="E255" s="646">
        <f>+'18,1,6'!H48</f>
        <v>1853608</v>
      </c>
      <c r="F255" s="801">
        <v>1819701</v>
      </c>
      <c r="G255" s="8">
        <f t="shared" si="17"/>
        <v>33907</v>
      </c>
    </row>
    <row r="256" spans="1:7">
      <c r="A256" s="989"/>
      <c r="B256" s="633" t="s">
        <v>207</v>
      </c>
      <c r="C256" s="640" t="s">
        <v>90</v>
      </c>
      <c r="D256" s="634" t="s">
        <v>1256</v>
      </c>
      <c r="E256" s="646">
        <f>+'18,1,7'!H48</f>
        <v>2113153</v>
      </c>
      <c r="F256" s="801">
        <v>2075878</v>
      </c>
      <c r="G256" s="8">
        <f t="shared" si="17"/>
        <v>37275</v>
      </c>
    </row>
    <row r="257" spans="2:7">
      <c r="B257" s="635">
        <v>19</v>
      </c>
      <c r="C257" s="639" t="s">
        <v>93</v>
      </c>
      <c r="D257" s="634"/>
      <c r="E257" s="648"/>
      <c r="F257" s="801"/>
      <c r="G257" s="8"/>
    </row>
    <row r="258" spans="2:7">
      <c r="B258" s="636">
        <v>19.100000000000001</v>
      </c>
      <c r="C258" s="639" t="s">
        <v>34</v>
      </c>
      <c r="D258" s="634"/>
      <c r="E258" s="648"/>
      <c r="F258" s="801"/>
      <c r="G258" s="8"/>
    </row>
    <row r="259" spans="2:7">
      <c r="B259" s="633" t="s">
        <v>208</v>
      </c>
      <c r="C259" s="640" t="s">
        <v>35</v>
      </c>
      <c r="D259" s="634" t="s">
        <v>1175</v>
      </c>
      <c r="E259" s="646">
        <f>+'19,1,1'!H49</f>
        <v>505179</v>
      </c>
      <c r="F259" s="801">
        <v>477916</v>
      </c>
      <c r="G259" s="8">
        <f t="shared" ref="G259:G273" si="18">+E259-F259</f>
        <v>27263</v>
      </c>
    </row>
    <row r="260" spans="2:7">
      <c r="B260" s="633" t="s">
        <v>209</v>
      </c>
      <c r="C260" s="640" t="s">
        <v>94</v>
      </c>
      <c r="D260" s="634" t="s">
        <v>1256</v>
      </c>
      <c r="E260" s="646">
        <f>+'19,1,2'!H48</f>
        <v>112980</v>
      </c>
      <c r="F260" s="801">
        <v>101249</v>
      </c>
      <c r="G260" s="8">
        <f t="shared" si="18"/>
        <v>11731</v>
      </c>
    </row>
    <row r="261" spans="2:7">
      <c r="B261" s="633" t="s">
        <v>210</v>
      </c>
      <c r="C261" s="640" t="s">
        <v>36</v>
      </c>
      <c r="D261" s="634" t="s">
        <v>1256</v>
      </c>
      <c r="E261" s="646">
        <f>+'19,1,3'!H48</f>
        <v>487932</v>
      </c>
      <c r="F261" s="801">
        <v>485345</v>
      </c>
      <c r="G261" s="8">
        <f t="shared" si="18"/>
        <v>2587</v>
      </c>
    </row>
    <row r="262" spans="2:7">
      <c r="B262" s="633" t="s">
        <v>211</v>
      </c>
      <c r="C262" s="640" t="s">
        <v>37</v>
      </c>
      <c r="D262" s="634" t="s">
        <v>1175</v>
      </c>
      <c r="E262" s="646">
        <f>+'19,1,4'!H48</f>
        <v>452522</v>
      </c>
      <c r="F262" s="801">
        <v>434360</v>
      </c>
      <c r="G262" s="8">
        <f t="shared" si="18"/>
        <v>18162</v>
      </c>
    </row>
    <row r="263" spans="2:7">
      <c r="B263" s="633" t="s">
        <v>212</v>
      </c>
      <c r="C263" s="640" t="s">
        <v>95</v>
      </c>
      <c r="D263" s="634" t="s">
        <v>1175</v>
      </c>
      <c r="E263" s="646">
        <f>+'19,1,5'!H48</f>
        <v>19666</v>
      </c>
      <c r="F263" s="801">
        <v>17643</v>
      </c>
      <c r="G263" s="8">
        <f t="shared" si="18"/>
        <v>2023</v>
      </c>
    </row>
    <row r="264" spans="2:7">
      <c r="B264" s="633" t="s">
        <v>213</v>
      </c>
      <c r="C264" s="640" t="s">
        <v>1360</v>
      </c>
      <c r="D264" s="634" t="s">
        <v>1175</v>
      </c>
      <c r="E264" s="646">
        <f>+'19,1,6'!H48</f>
        <v>766261</v>
      </c>
      <c r="F264" s="801">
        <v>550357</v>
      </c>
      <c r="G264" s="8">
        <f t="shared" si="18"/>
        <v>215904</v>
      </c>
    </row>
    <row r="265" spans="2:7">
      <c r="B265" s="633" t="s">
        <v>214</v>
      </c>
      <c r="C265" s="640" t="s">
        <v>1363</v>
      </c>
      <c r="D265" s="634" t="s">
        <v>1175</v>
      </c>
      <c r="E265" s="646">
        <f>+'19,1,7'!H48</f>
        <v>530396</v>
      </c>
      <c r="F265" s="801">
        <v>483331</v>
      </c>
      <c r="G265" s="8">
        <f t="shared" si="18"/>
        <v>47065</v>
      </c>
    </row>
    <row r="266" spans="2:7" ht="28.8">
      <c r="B266" s="634" t="s">
        <v>215</v>
      </c>
      <c r="C266" s="1125" t="s">
        <v>1065</v>
      </c>
      <c r="D266" s="634" t="s">
        <v>1175</v>
      </c>
      <c r="E266" s="647">
        <f>+'19,1,8'!H49</f>
        <v>393561</v>
      </c>
      <c r="F266" s="801">
        <v>339293</v>
      </c>
      <c r="G266" s="8">
        <f t="shared" si="18"/>
        <v>54268</v>
      </c>
    </row>
    <row r="267" spans="2:7" ht="28.8">
      <c r="B267" s="634" t="s">
        <v>216</v>
      </c>
      <c r="C267" s="1125" t="s">
        <v>1066</v>
      </c>
      <c r="D267" s="634" t="s">
        <v>1175</v>
      </c>
      <c r="E267" s="647">
        <f>+'19,1,9'!H50</f>
        <v>484495</v>
      </c>
      <c r="F267" s="801">
        <v>421446</v>
      </c>
      <c r="G267" s="8">
        <f t="shared" si="18"/>
        <v>63049</v>
      </c>
    </row>
    <row r="268" spans="2:7">
      <c r="B268" s="633" t="s">
        <v>217</v>
      </c>
      <c r="C268" s="640" t="s">
        <v>1633</v>
      </c>
      <c r="D268" s="634" t="s">
        <v>1175</v>
      </c>
      <c r="E268" s="646">
        <f>+'19,1,10'!H50</f>
        <v>652879</v>
      </c>
      <c r="F268" s="801">
        <v>549145</v>
      </c>
      <c r="G268" s="8">
        <f t="shared" si="18"/>
        <v>103734</v>
      </c>
    </row>
    <row r="269" spans="2:7">
      <c r="B269" s="633" t="s">
        <v>218</v>
      </c>
      <c r="C269" s="640" t="s">
        <v>1637</v>
      </c>
      <c r="D269" s="634" t="s">
        <v>1175</v>
      </c>
      <c r="E269" s="646">
        <f>+'19,1,11'!H50</f>
        <v>856189</v>
      </c>
      <c r="F269" s="801">
        <v>598870</v>
      </c>
      <c r="G269" s="8">
        <f t="shared" si="18"/>
        <v>257319</v>
      </c>
    </row>
    <row r="270" spans="2:7">
      <c r="B270" s="633" t="s">
        <v>219</v>
      </c>
      <c r="C270" s="640" t="s">
        <v>96</v>
      </c>
      <c r="D270" s="634" t="s">
        <v>1256</v>
      </c>
      <c r="E270" s="646">
        <f>+'19,1,12'!H48</f>
        <v>227150</v>
      </c>
      <c r="F270" s="801">
        <v>202363</v>
      </c>
      <c r="G270" s="8">
        <f t="shared" si="18"/>
        <v>24787</v>
      </c>
    </row>
    <row r="271" spans="2:7">
      <c r="B271" s="633" t="s">
        <v>220</v>
      </c>
      <c r="C271" s="640" t="s">
        <v>97</v>
      </c>
      <c r="D271" s="634" t="s">
        <v>1256</v>
      </c>
      <c r="E271" s="646">
        <f>+'19,1,13'!H48</f>
        <v>298817</v>
      </c>
      <c r="F271" s="801">
        <v>267654</v>
      </c>
      <c r="G271" s="8">
        <f t="shared" si="18"/>
        <v>31163</v>
      </c>
    </row>
    <row r="272" spans="2:7" ht="16.2">
      <c r="B272" s="633" t="s">
        <v>221</v>
      </c>
      <c r="C272" s="640" t="s">
        <v>98</v>
      </c>
      <c r="D272" s="634" t="s">
        <v>1257</v>
      </c>
      <c r="E272" s="646">
        <f>+'19,1,14'!H48</f>
        <v>621527</v>
      </c>
      <c r="F272" s="801">
        <v>575390</v>
      </c>
      <c r="G272" s="8">
        <f t="shared" si="18"/>
        <v>46137</v>
      </c>
    </row>
    <row r="273" spans="1:7" ht="28.8">
      <c r="B273" s="634" t="s">
        <v>222</v>
      </c>
      <c r="C273" s="1125" t="s">
        <v>142</v>
      </c>
      <c r="D273" s="634" t="s">
        <v>1256</v>
      </c>
      <c r="E273" s="647">
        <f>+'19,1,15'!H48</f>
        <v>146964</v>
      </c>
      <c r="F273" s="801">
        <v>129646</v>
      </c>
      <c r="G273" s="8">
        <f t="shared" si="18"/>
        <v>17318</v>
      </c>
    </row>
    <row r="274" spans="1:7">
      <c r="B274" s="636">
        <v>19.2</v>
      </c>
      <c r="C274" s="639" t="s">
        <v>38</v>
      </c>
      <c r="D274" s="634"/>
      <c r="E274" s="648"/>
      <c r="F274" s="801"/>
      <c r="G274" s="8"/>
    </row>
    <row r="275" spans="1:7">
      <c r="B275" s="633" t="s">
        <v>223</v>
      </c>
      <c r="C275" s="640" t="s">
        <v>35</v>
      </c>
      <c r="D275" s="634" t="s">
        <v>1175</v>
      </c>
      <c r="E275" s="646">
        <f>+'19,2,1'!H47</f>
        <v>718568</v>
      </c>
      <c r="F275" s="801">
        <v>710544</v>
      </c>
      <c r="G275" s="8">
        <f>+E275-F275</f>
        <v>8024</v>
      </c>
    </row>
    <row r="276" spans="1:7">
      <c r="B276" s="633" t="s">
        <v>224</v>
      </c>
      <c r="C276" s="640" t="s">
        <v>94</v>
      </c>
      <c r="D276" s="634" t="s">
        <v>1256</v>
      </c>
      <c r="E276" s="646">
        <f>+'19,2,2'!H48</f>
        <v>144185</v>
      </c>
      <c r="F276" s="801">
        <v>133960</v>
      </c>
      <c r="G276" s="8">
        <f>+E276-F276</f>
        <v>10225</v>
      </c>
    </row>
    <row r="277" spans="1:7">
      <c r="B277" s="633" t="s">
        <v>225</v>
      </c>
      <c r="C277" s="640" t="s">
        <v>36</v>
      </c>
      <c r="D277" s="634" t="s">
        <v>1256</v>
      </c>
      <c r="E277" s="646">
        <f>+'19,2,3'!H48</f>
        <v>509161</v>
      </c>
      <c r="F277" s="801">
        <v>507830</v>
      </c>
      <c r="G277" s="8">
        <f>+E277-F277</f>
        <v>1331</v>
      </c>
    </row>
    <row r="278" spans="1:7">
      <c r="B278" s="633" t="s">
        <v>226</v>
      </c>
      <c r="C278" s="640" t="s">
        <v>39</v>
      </c>
      <c r="D278" s="634" t="s">
        <v>1175</v>
      </c>
      <c r="E278" s="646">
        <f>+'19,2,4'!H48</f>
        <v>486512</v>
      </c>
      <c r="F278" s="801">
        <v>472696</v>
      </c>
      <c r="G278" s="8">
        <f>+E278-F278</f>
        <v>13816</v>
      </c>
    </row>
    <row r="279" spans="1:7">
      <c r="B279" s="635">
        <v>20</v>
      </c>
      <c r="C279" s="639" t="s">
        <v>40</v>
      </c>
      <c r="D279" s="634"/>
      <c r="E279" s="648"/>
      <c r="F279" s="801"/>
      <c r="G279" s="8"/>
    </row>
    <row r="280" spans="1:7" ht="15" customHeight="1">
      <c r="B280" s="634">
        <v>20.100000000000001</v>
      </c>
      <c r="C280" s="1125" t="s">
        <v>844</v>
      </c>
      <c r="D280" s="634" t="s">
        <v>1256</v>
      </c>
      <c r="E280" s="646">
        <f>+'20,1'!H48</f>
        <v>16875</v>
      </c>
      <c r="F280" s="801">
        <v>13948</v>
      </c>
      <c r="G280" s="8">
        <f>+E280-F280</f>
        <v>2927</v>
      </c>
    </row>
    <row r="281" spans="1:7" ht="15" customHeight="1">
      <c r="A281" s="921" t="s">
        <v>1299</v>
      </c>
      <c r="B281" s="634">
        <v>20.2</v>
      </c>
      <c r="C281" s="1125" t="s">
        <v>1447</v>
      </c>
      <c r="D281" s="634" t="s">
        <v>1171</v>
      </c>
      <c r="E281" s="646">
        <f>+'20,2'!H48</f>
        <v>4050</v>
      </c>
      <c r="F281" s="801"/>
      <c r="G281" s="8"/>
    </row>
    <row r="282" spans="1:7" ht="15" customHeight="1">
      <c r="A282" s="921" t="s">
        <v>1299</v>
      </c>
      <c r="B282" s="634">
        <v>20.3</v>
      </c>
      <c r="C282" s="1125" t="s">
        <v>1451</v>
      </c>
      <c r="D282" s="634" t="s">
        <v>1175</v>
      </c>
      <c r="E282" s="646">
        <f>+'20,3'!H48</f>
        <v>57655</v>
      </c>
      <c r="F282" s="801"/>
      <c r="G282" s="8"/>
    </row>
    <row r="283" spans="1:7" ht="16.2">
      <c r="B283" s="634">
        <v>20.399999999999999</v>
      </c>
      <c r="C283" s="1089" t="s">
        <v>1654</v>
      </c>
      <c r="D283" s="634" t="s">
        <v>1257</v>
      </c>
      <c r="E283" s="646">
        <f>+'20,4'!H48</f>
        <v>80666</v>
      </c>
      <c r="F283" s="801">
        <v>54470</v>
      </c>
      <c r="G283" s="8">
        <f t="shared" ref="G283:G309" si="19">+E283-F283</f>
        <v>26196</v>
      </c>
    </row>
    <row r="284" spans="1:7" ht="16.2">
      <c r="B284" s="634">
        <v>20.5</v>
      </c>
      <c r="C284" s="1125" t="s">
        <v>1090</v>
      </c>
      <c r="D284" s="634" t="s">
        <v>1257</v>
      </c>
      <c r="E284" s="646">
        <f>+'20,5'!H48</f>
        <v>122311</v>
      </c>
      <c r="F284" s="801">
        <v>100723</v>
      </c>
      <c r="G284" s="8">
        <f t="shared" si="19"/>
        <v>21588</v>
      </c>
    </row>
    <row r="285" spans="1:7" ht="28.8">
      <c r="B285" s="634">
        <v>20.6</v>
      </c>
      <c r="C285" s="1128" t="s">
        <v>1655</v>
      </c>
      <c r="D285" s="634" t="s">
        <v>1175</v>
      </c>
      <c r="E285" s="647">
        <f>+'20,6'!H47</f>
        <v>186273</v>
      </c>
      <c r="F285" s="801">
        <v>176480</v>
      </c>
      <c r="G285" s="8">
        <f t="shared" si="19"/>
        <v>9793</v>
      </c>
    </row>
    <row r="286" spans="1:7" ht="28.8">
      <c r="B286" s="634">
        <v>20.7</v>
      </c>
      <c r="C286" s="1092" t="s">
        <v>1656</v>
      </c>
      <c r="D286" s="634" t="s">
        <v>1175</v>
      </c>
      <c r="E286" s="647">
        <f>+'20,7'!H47</f>
        <v>277152</v>
      </c>
      <c r="F286" s="801">
        <v>251796</v>
      </c>
      <c r="G286" s="8">
        <f t="shared" si="19"/>
        <v>25356</v>
      </c>
    </row>
    <row r="287" spans="1:7" ht="28.8">
      <c r="B287" s="634">
        <v>20.8</v>
      </c>
      <c r="C287" s="1092" t="s">
        <v>1657</v>
      </c>
      <c r="D287" s="634" t="s">
        <v>1175</v>
      </c>
      <c r="E287" s="647">
        <f>+'20,8'!H47</f>
        <v>359667</v>
      </c>
      <c r="F287" s="801">
        <v>332625</v>
      </c>
      <c r="G287" s="8">
        <f t="shared" si="19"/>
        <v>27042</v>
      </c>
    </row>
    <row r="288" spans="1:7">
      <c r="B288" s="634">
        <v>20.9</v>
      </c>
      <c r="C288" s="1092" t="s">
        <v>1658</v>
      </c>
      <c r="D288" s="634" t="s">
        <v>1175</v>
      </c>
      <c r="E288" s="647">
        <f>+'20,9'!H48</f>
        <v>374775</v>
      </c>
      <c r="F288" s="801">
        <v>406612</v>
      </c>
      <c r="G288" s="8">
        <f t="shared" si="19"/>
        <v>-31837</v>
      </c>
    </row>
    <row r="289" spans="2:7">
      <c r="B289" s="1091">
        <v>20.100000000000001</v>
      </c>
      <c r="C289" s="1092" t="s">
        <v>1659</v>
      </c>
      <c r="D289" s="634" t="s">
        <v>1175</v>
      </c>
      <c r="E289" s="647">
        <f>+'20,10'!H49</f>
        <v>401760</v>
      </c>
      <c r="F289" s="801">
        <v>371986</v>
      </c>
      <c r="G289" s="8">
        <f t="shared" si="19"/>
        <v>29774</v>
      </c>
    </row>
    <row r="290" spans="2:7">
      <c r="B290" s="634">
        <v>20.11</v>
      </c>
      <c r="C290" s="1092" t="s">
        <v>1660</v>
      </c>
      <c r="D290" s="634" t="s">
        <v>1175</v>
      </c>
      <c r="E290" s="647">
        <f>+'20,11'!H49</f>
        <v>423110</v>
      </c>
      <c r="F290" s="801">
        <v>378236</v>
      </c>
      <c r="G290" s="8">
        <f t="shared" si="19"/>
        <v>44874</v>
      </c>
    </row>
    <row r="291" spans="2:7">
      <c r="B291" s="634">
        <v>20.12</v>
      </c>
      <c r="C291" s="1092" t="s">
        <v>1661</v>
      </c>
      <c r="D291" s="634" t="s">
        <v>1175</v>
      </c>
      <c r="E291" s="647">
        <f>+'20,12'!H49</f>
        <v>595515</v>
      </c>
      <c r="F291" s="801">
        <v>403695</v>
      </c>
      <c r="G291" s="8">
        <f t="shared" si="19"/>
        <v>191820</v>
      </c>
    </row>
    <row r="292" spans="2:7">
      <c r="B292" s="1091">
        <v>20.13</v>
      </c>
      <c r="C292" s="1092" t="s">
        <v>1662</v>
      </c>
      <c r="D292" s="634" t="s">
        <v>1175</v>
      </c>
      <c r="E292" s="647">
        <f>+'20,13'!H49</f>
        <v>505833</v>
      </c>
      <c r="F292" s="801">
        <v>418695</v>
      </c>
      <c r="G292" s="8">
        <f t="shared" si="19"/>
        <v>87138</v>
      </c>
    </row>
    <row r="293" spans="2:7">
      <c r="B293" s="633">
        <v>20.14</v>
      </c>
      <c r="C293" s="1089" t="s">
        <v>845</v>
      </c>
      <c r="D293" s="634" t="s">
        <v>1175</v>
      </c>
      <c r="E293" s="646">
        <f>+'20,14'!H48</f>
        <v>181803</v>
      </c>
      <c r="F293" s="801">
        <v>139630</v>
      </c>
      <c r="G293" s="8">
        <f t="shared" si="19"/>
        <v>42173</v>
      </c>
    </row>
    <row r="294" spans="2:7">
      <c r="B294" s="633">
        <v>20.149999999999999</v>
      </c>
      <c r="C294" s="1089" t="s">
        <v>846</v>
      </c>
      <c r="D294" s="634" t="s">
        <v>1175</v>
      </c>
      <c r="E294" s="646">
        <f>+'20,15'!H48</f>
        <v>260453</v>
      </c>
      <c r="F294" s="801">
        <v>200761</v>
      </c>
      <c r="G294" s="8">
        <f t="shared" si="19"/>
        <v>59692</v>
      </c>
    </row>
    <row r="295" spans="2:7">
      <c r="B295" s="1090">
        <v>20.16</v>
      </c>
      <c r="C295" s="1089" t="s">
        <v>847</v>
      </c>
      <c r="D295" s="634" t="s">
        <v>1175</v>
      </c>
      <c r="E295" s="646">
        <f>+'20,16'!H48</f>
        <v>342549</v>
      </c>
      <c r="F295" s="801">
        <v>277762</v>
      </c>
      <c r="G295" s="8">
        <f t="shared" si="19"/>
        <v>64787</v>
      </c>
    </row>
    <row r="296" spans="2:7">
      <c r="B296" s="633">
        <v>20.170000000000002</v>
      </c>
      <c r="C296" s="1089" t="s">
        <v>848</v>
      </c>
      <c r="D296" s="634" t="s">
        <v>1175</v>
      </c>
      <c r="E296" s="646">
        <f>+'20,17'!H48</f>
        <v>383167</v>
      </c>
      <c r="F296" s="801">
        <v>303354</v>
      </c>
      <c r="G296" s="8">
        <f t="shared" si="19"/>
        <v>79813</v>
      </c>
    </row>
    <row r="297" spans="2:7">
      <c r="B297" s="633">
        <v>20.18</v>
      </c>
      <c r="C297" s="1089" t="s">
        <v>849</v>
      </c>
      <c r="D297" s="634" t="s">
        <v>1175</v>
      </c>
      <c r="E297" s="646">
        <f>+'20,18'!H48</f>
        <v>462099</v>
      </c>
      <c r="F297" s="801">
        <v>359034</v>
      </c>
      <c r="G297" s="8">
        <f t="shared" si="19"/>
        <v>103065</v>
      </c>
    </row>
    <row r="298" spans="2:7">
      <c r="B298" s="1090">
        <v>20.190000000000001</v>
      </c>
      <c r="C298" s="1089" t="s">
        <v>850</v>
      </c>
      <c r="D298" s="634" t="s">
        <v>1175</v>
      </c>
      <c r="E298" s="646">
        <f>+'20,19'!H48</f>
        <v>532501</v>
      </c>
      <c r="F298" s="801">
        <v>425787</v>
      </c>
      <c r="G298" s="8">
        <f t="shared" si="19"/>
        <v>106714</v>
      </c>
    </row>
    <row r="299" spans="2:7">
      <c r="B299" s="1090">
        <v>20.2</v>
      </c>
      <c r="C299" s="1089" t="s">
        <v>851</v>
      </c>
      <c r="D299" s="634" t="s">
        <v>1175</v>
      </c>
      <c r="E299" s="646">
        <f>+'20,20'!H48</f>
        <v>644296</v>
      </c>
      <c r="F299" s="801">
        <v>522067</v>
      </c>
      <c r="G299" s="8">
        <f t="shared" si="19"/>
        <v>122229</v>
      </c>
    </row>
    <row r="300" spans="2:7">
      <c r="B300" s="633">
        <v>20.21</v>
      </c>
      <c r="C300" s="1089" t="s">
        <v>852</v>
      </c>
      <c r="D300" s="634" t="s">
        <v>1175</v>
      </c>
      <c r="E300" s="646">
        <f>+'20,21'!H48</f>
        <v>878878</v>
      </c>
      <c r="F300" s="801">
        <v>706217</v>
      </c>
      <c r="G300" s="8">
        <f t="shared" si="19"/>
        <v>172661</v>
      </c>
    </row>
    <row r="301" spans="2:7">
      <c r="B301" s="633">
        <v>20.22</v>
      </c>
      <c r="C301" s="1089" t="s">
        <v>853</v>
      </c>
      <c r="D301" s="634" t="s">
        <v>1175</v>
      </c>
      <c r="E301" s="646">
        <f>+'20,22'!H48</f>
        <v>129458</v>
      </c>
      <c r="F301" s="801">
        <v>96288</v>
      </c>
      <c r="G301" s="8">
        <f t="shared" si="19"/>
        <v>33170</v>
      </c>
    </row>
    <row r="302" spans="2:7">
      <c r="B302" s="1090">
        <v>20.23</v>
      </c>
      <c r="C302" s="1089" t="s">
        <v>854</v>
      </c>
      <c r="D302" s="634" t="s">
        <v>1175</v>
      </c>
      <c r="E302" s="646">
        <f>+'20,23'!H48</f>
        <v>169374</v>
      </c>
      <c r="F302" s="801">
        <v>126133</v>
      </c>
      <c r="G302" s="8">
        <f t="shared" si="19"/>
        <v>43241</v>
      </c>
    </row>
    <row r="303" spans="2:7">
      <c r="B303" s="633">
        <v>20.239999999999998</v>
      </c>
      <c r="C303" s="1089" t="s">
        <v>855</v>
      </c>
      <c r="D303" s="634" t="s">
        <v>1175</v>
      </c>
      <c r="E303" s="646">
        <f>+'20,24'!H48</f>
        <v>241159</v>
      </c>
      <c r="F303" s="801">
        <v>179133</v>
      </c>
      <c r="G303" s="8">
        <f t="shared" si="19"/>
        <v>62026</v>
      </c>
    </row>
    <row r="304" spans="2:7">
      <c r="B304" s="633">
        <v>20.25</v>
      </c>
      <c r="C304" s="1089" t="s">
        <v>856</v>
      </c>
      <c r="D304" s="634" t="s">
        <v>1175</v>
      </c>
      <c r="E304" s="646">
        <f>+'20,25'!H48</f>
        <v>289940</v>
      </c>
      <c r="F304" s="801">
        <v>215323</v>
      </c>
      <c r="G304" s="8">
        <f t="shared" si="19"/>
        <v>74617</v>
      </c>
    </row>
    <row r="305" spans="1:9" s="923" customFormat="1">
      <c r="A305" s="921" t="s">
        <v>1299</v>
      </c>
      <c r="B305" s="633">
        <v>20.260000000000002</v>
      </c>
      <c r="C305" s="1089" t="s">
        <v>1486</v>
      </c>
      <c r="D305" s="634" t="s">
        <v>1259</v>
      </c>
      <c r="E305" s="646">
        <f>+'20,26'!H51</f>
        <v>2983267</v>
      </c>
      <c r="F305" s="801">
        <v>1624463</v>
      </c>
      <c r="G305" s="1037">
        <f t="shared" si="19"/>
        <v>1358804</v>
      </c>
      <c r="I305" s="1096"/>
    </row>
    <row r="306" spans="1:9">
      <c r="A306" s="921" t="s">
        <v>1299</v>
      </c>
      <c r="B306" s="633">
        <v>20.27</v>
      </c>
      <c r="C306" s="1089" t="s">
        <v>1389</v>
      </c>
      <c r="D306" s="634" t="s">
        <v>1259</v>
      </c>
      <c r="E306" s="646">
        <f>+'20,27'!H51</f>
        <v>5833078</v>
      </c>
      <c r="F306" s="801">
        <v>11387</v>
      </c>
      <c r="G306" s="8">
        <f t="shared" si="19"/>
        <v>5821691</v>
      </c>
    </row>
    <row r="307" spans="1:9">
      <c r="A307" s="921" t="s">
        <v>1299</v>
      </c>
      <c r="B307" s="633">
        <v>20.28</v>
      </c>
      <c r="C307" s="1089" t="s">
        <v>1392</v>
      </c>
      <c r="D307" s="634" t="s">
        <v>1259</v>
      </c>
      <c r="E307" s="646">
        <f>+'20,28'!H53</f>
        <v>5969167</v>
      </c>
      <c r="F307" s="801">
        <v>2628277</v>
      </c>
      <c r="G307" s="8">
        <f t="shared" si="19"/>
        <v>3340890</v>
      </c>
    </row>
    <row r="308" spans="1:9">
      <c r="A308" s="921" t="s">
        <v>1299</v>
      </c>
      <c r="B308" s="633">
        <v>20.29</v>
      </c>
      <c r="C308" s="1089" t="s">
        <v>1397</v>
      </c>
      <c r="D308" s="634" t="s">
        <v>1259</v>
      </c>
      <c r="E308" s="646">
        <f>+'20,29'!H53</f>
        <v>2471655</v>
      </c>
      <c r="F308" s="801">
        <v>57916</v>
      </c>
      <c r="G308" s="8">
        <f t="shared" si="19"/>
        <v>2413739</v>
      </c>
    </row>
    <row r="309" spans="1:9">
      <c r="A309" s="921" t="s">
        <v>1299</v>
      </c>
      <c r="B309" s="1090">
        <v>20.3</v>
      </c>
      <c r="C309" s="1089" t="s">
        <v>1398</v>
      </c>
      <c r="D309" s="634" t="s">
        <v>1259</v>
      </c>
      <c r="E309" s="646">
        <f>+'20,30'!H51</f>
        <v>1998928</v>
      </c>
      <c r="F309" s="801">
        <v>28872</v>
      </c>
      <c r="G309" s="8">
        <f t="shared" si="19"/>
        <v>1970056</v>
      </c>
    </row>
    <row r="310" spans="1:9">
      <c r="A310" s="921" t="s">
        <v>1299</v>
      </c>
      <c r="B310" s="1090">
        <v>20.309999999999999</v>
      </c>
      <c r="C310" s="1089" t="s">
        <v>1402</v>
      </c>
      <c r="D310" s="634" t="s">
        <v>1259</v>
      </c>
      <c r="E310" s="646">
        <f>+'20,31'!H51</f>
        <v>1602820</v>
      </c>
      <c r="F310" s="801"/>
      <c r="G310" s="8"/>
    </row>
    <row r="311" spans="1:9">
      <c r="A311" s="921" t="s">
        <v>1299</v>
      </c>
      <c r="B311" s="1090">
        <v>20.32</v>
      </c>
      <c r="C311" s="1089" t="s">
        <v>1404</v>
      </c>
      <c r="D311" s="634" t="s">
        <v>1259</v>
      </c>
      <c r="E311" s="646">
        <f>+'20,32'!H51</f>
        <v>3211946</v>
      </c>
      <c r="F311" s="801"/>
      <c r="G311" s="8"/>
    </row>
    <row r="312" spans="1:9">
      <c r="A312" s="921" t="s">
        <v>1299</v>
      </c>
      <c r="B312" s="1090">
        <v>20.329999999999998</v>
      </c>
      <c r="C312" s="1089" t="s">
        <v>1411</v>
      </c>
      <c r="D312" s="634" t="s">
        <v>1259</v>
      </c>
      <c r="E312" s="646">
        <f>+'20,33'!H51</f>
        <v>2163990</v>
      </c>
      <c r="F312" s="801"/>
      <c r="G312" s="8"/>
    </row>
    <row r="313" spans="1:9">
      <c r="A313" s="921" t="s">
        <v>1299</v>
      </c>
      <c r="B313" s="1090">
        <v>20.34</v>
      </c>
      <c r="C313" s="1089" t="s">
        <v>1407</v>
      </c>
      <c r="D313" s="634" t="s">
        <v>1175</v>
      </c>
      <c r="E313" s="646">
        <f>+'20,34'!H49</f>
        <v>97702</v>
      </c>
      <c r="F313" s="801"/>
      <c r="G313" s="8"/>
    </row>
    <row r="314" spans="1:9">
      <c r="A314" s="921" t="s">
        <v>1299</v>
      </c>
      <c r="B314" s="1090">
        <v>20.350000000000001</v>
      </c>
      <c r="C314" s="1089" t="s">
        <v>1409</v>
      </c>
      <c r="D314" s="634" t="s">
        <v>1175</v>
      </c>
      <c r="E314" s="646">
        <f>+'20,35'!H48</f>
        <v>30773</v>
      </c>
      <c r="F314" s="801"/>
      <c r="G314" s="8"/>
    </row>
    <row r="315" spans="1:9">
      <c r="A315" s="921" t="s">
        <v>1299</v>
      </c>
      <c r="B315" s="1090">
        <v>20.36</v>
      </c>
      <c r="C315" s="1089" t="s">
        <v>1714</v>
      </c>
      <c r="D315" s="634" t="s">
        <v>1171</v>
      </c>
      <c r="E315" s="646">
        <f>+'20,36'!H54</f>
        <v>19842</v>
      </c>
      <c r="F315" s="801"/>
      <c r="G315" s="8"/>
    </row>
    <row r="316" spans="1:9" ht="16.2">
      <c r="A316" s="921"/>
      <c r="B316" s="1090">
        <v>20.37</v>
      </c>
      <c r="C316" s="1089" t="s">
        <v>1410</v>
      </c>
      <c r="D316" s="634" t="s">
        <v>1258</v>
      </c>
      <c r="E316" s="646">
        <f>+'20,37'!H47</f>
        <v>17144</v>
      </c>
      <c r="F316" s="801"/>
      <c r="G316" s="8"/>
    </row>
    <row r="317" spans="1:9">
      <c r="B317" s="1090">
        <v>20.38</v>
      </c>
      <c r="C317" s="640" t="s">
        <v>99</v>
      </c>
      <c r="D317" s="634" t="s">
        <v>1256</v>
      </c>
      <c r="E317" s="646">
        <f>+'20,38'!H48</f>
        <v>75935</v>
      </c>
      <c r="F317" s="801">
        <v>67508</v>
      </c>
      <c r="G317" s="8">
        <f t="shared" ref="G317:G333" si="20">+E317-F317</f>
        <v>8427</v>
      </c>
    </row>
    <row r="318" spans="1:9">
      <c r="B318" s="1090">
        <v>20.39</v>
      </c>
      <c r="C318" s="640" t="s">
        <v>100</v>
      </c>
      <c r="D318" s="634" t="s">
        <v>1256</v>
      </c>
      <c r="E318" s="646">
        <f>+'20,39'!H48</f>
        <v>30188</v>
      </c>
      <c r="F318" s="801">
        <v>26257</v>
      </c>
      <c r="G318" s="8">
        <f t="shared" si="20"/>
        <v>3931</v>
      </c>
    </row>
    <row r="319" spans="1:9" ht="16.2">
      <c r="B319" s="1090">
        <v>20.399999999999999</v>
      </c>
      <c r="C319" s="640" t="s">
        <v>101</v>
      </c>
      <c r="D319" s="634" t="s">
        <v>1257</v>
      </c>
      <c r="E319" s="646">
        <f>+'20,40'!H49</f>
        <v>332418</v>
      </c>
      <c r="F319" s="801">
        <v>294957</v>
      </c>
      <c r="G319" s="8">
        <f t="shared" si="20"/>
        <v>37461</v>
      </c>
    </row>
    <row r="320" spans="1:9">
      <c r="B320" s="633">
        <v>20.41</v>
      </c>
      <c r="C320" s="640" t="s">
        <v>102</v>
      </c>
      <c r="D320" s="634" t="s">
        <v>1260</v>
      </c>
      <c r="E320" s="646">
        <f>+'20,41'!H48</f>
        <v>14419</v>
      </c>
      <c r="F320" s="801">
        <v>6418</v>
      </c>
      <c r="G320" s="8">
        <f t="shared" si="20"/>
        <v>8001</v>
      </c>
    </row>
    <row r="321" spans="2:7">
      <c r="B321" s="1090">
        <v>20.420000000000002</v>
      </c>
      <c r="C321" s="640" t="s">
        <v>103</v>
      </c>
      <c r="D321" s="634" t="s">
        <v>1232</v>
      </c>
      <c r="E321" s="646">
        <f>+'20,42'!H48</f>
        <v>69605</v>
      </c>
      <c r="F321" s="801">
        <v>62438</v>
      </c>
      <c r="G321" s="8">
        <f t="shared" si="20"/>
        <v>7167</v>
      </c>
    </row>
    <row r="322" spans="2:7">
      <c r="B322" s="633">
        <v>20.43</v>
      </c>
      <c r="C322" s="640" t="s">
        <v>50</v>
      </c>
      <c r="D322" s="634" t="s">
        <v>1261</v>
      </c>
      <c r="E322" s="646">
        <f>+'20,43'!H48</f>
        <v>674894</v>
      </c>
      <c r="F322" s="801">
        <v>625740</v>
      </c>
      <c r="G322" s="8">
        <f t="shared" si="20"/>
        <v>49154</v>
      </c>
    </row>
    <row r="323" spans="2:7">
      <c r="B323" s="1090">
        <v>20.440000000000001</v>
      </c>
      <c r="C323" s="640" t="s">
        <v>51</v>
      </c>
      <c r="D323" s="634" t="s">
        <v>1261</v>
      </c>
      <c r="E323" s="646">
        <f>+'20,44'!H48</f>
        <v>1183246</v>
      </c>
      <c r="F323" s="801">
        <v>1061387</v>
      </c>
      <c r="G323" s="8">
        <f t="shared" si="20"/>
        <v>121859</v>
      </c>
    </row>
    <row r="324" spans="2:7">
      <c r="B324" s="633">
        <v>20.45</v>
      </c>
      <c r="C324" s="640" t="s">
        <v>52</v>
      </c>
      <c r="D324" s="634" t="s">
        <v>1261</v>
      </c>
      <c r="E324" s="646">
        <f>+'20,45'!H48</f>
        <v>1395550</v>
      </c>
      <c r="F324" s="801">
        <v>1251826</v>
      </c>
      <c r="G324" s="8">
        <f t="shared" si="20"/>
        <v>143724</v>
      </c>
    </row>
    <row r="325" spans="2:7">
      <c r="B325" s="1090">
        <v>20.46</v>
      </c>
      <c r="C325" s="640" t="s">
        <v>53</v>
      </c>
      <c r="D325" s="634" t="s">
        <v>1261</v>
      </c>
      <c r="E325" s="646">
        <f>+'20,46'!H48</f>
        <v>2851320</v>
      </c>
      <c r="F325" s="801">
        <v>2557669</v>
      </c>
      <c r="G325" s="8">
        <f t="shared" si="20"/>
        <v>293651</v>
      </c>
    </row>
    <row r="326" spans="2:7" ht="16.2">
      <c r="B326" s="633">
        <v>20.47</v>
      </c>
      <c r="C326" s="640" t="s">
        <v>1162</v>
      </c>
      <c r="D326" s="634" t="s">
        <v>1258</v>
      </c>
      <c r="E326" s="646">
        <f>'20,47'!H48</f>
        <v>19676</v>
      </c>
      <c r="F326" s="801">
        <v>16609</v>
      </c>
      <c r="G326" s="8">
        <f t="shared" si="20"/>
        <v>3067</v>
      </c>
    </row>
    <row r="327" spans="2:7" ht="16.2">
      <c r="B327" s="1090">
        <v>20.48</v>
      </c>
      <c r="C327" s="640" t="s">
        <v>1163</v>
      </c>
      <c r="D327" s="634" t="s">
        <v>1258</v>
      </c>
      <c r="E327" s="646">
        <f>+'20,48'!H48</f>
        <v>27653</v>
      </c>
      <c r="F327" s="801">
        <v>24524</v>
      </c>
      <c r="G327" s="8">
        <f t="shared" si="20"/>
        <v>3129</v>
      </c>
    </row>
    <row r="328" spans="2:7" ht="16.2">
      <c r="B328" s="633">
        <v>20.49</v>
      </c>
      <c r="C328" s="640" t="s">
        <v>1164</v>
      </c>
      <c r="D328" s="634" t="s">
        <v>1258</v>
      </c>
      <c r="E328" s="646">
        <f>+'20,49'!H48</f>
        <v>31348</v>
      </c>
      <c r="F328" s="801">
        <v>27428</v>
      </c>
      <c r="G328" s="8">
        <f t="shared" si="20"/>
        <v>3920</v>
      </c>
    </row>
    <row r="329" spans="2:7" ht="16.2">
      <c r="B329" s="1090">
        <v>20.5</v>
      </c>
      <c r="C329" s="640" t="s">
        <v>1165</v>
      </c>
      <c r="D329" s="634" t="s">
        <v>1258</v>
      </c>
      <c r="E329" s="646">
        <f>+'20,50'!H48</f>
        <v>47057</v>
      </c>
      <c r="F329" s="801">
        <v>41325</v>
      </c>
      <c r="G329" s="8">
        <f t="shared" si="20"/>
        <v>5732</v>
      </c>
    </row>
    <row r="330" spans="2:7" ht="28.8">
      <c r="B330" s="1091">
        <v>20.51</v>
      </c>
      <c r="C330" s="1088" t="s">
        <v>1722</v>
      </c>
      <c r="D330" s="634" t="s">
        <v>1171</v>
      </c>
      <c r="E330" s="647">
        <f>+'20,51'!H48</f>
        <v>51230</v>
      </c>
      <c r="F330" s="801"/>
      <c r="G330" s="1151">
        <f t="shared" si="20"/>
        <v>51230</v>
      </c>
    </row>
    <row r="331" spans="2:7">
      <c r="B331" s="1091">
        <v>20.52</v>
      </c>
      <c r="C331" s="640" t="s">
        <v>1738</v>
      </c>
      <c r="D331" s="634" t="s">
        <v>1175</v>
      </c>
      <c r="E331" s="647">
        <f>+'20,52'!H48</f>
        <v>282037</v>
      </c>
      <c r="F331" s="801"/>
      <c r="G331" s="1151">
        <f t="shared" si="20"/>
        <v>282037</v>
      </c>
    </row>
    <row r="332" spans="2:7" ht="28.8">
      <c r="B332" s="1091">
        <v>20.53</v>
      </c>
      <c r="C332" s="1088" t="s">
        <v>1742</v>
      </c>
      <c r="D332" s="634" t="s">
        <v>1175</v>
      </c>
      <c r="E332" s="647">
        <f>+'20,53'!H48</f>
        <v>424345</v>
      </c>
      <c r="F332" s="801"/>
      <c r="G332" s="1151">
        <f t="shared" si="20"/>
        <v>424345</v>
      </c>
    </row>
    <row r="333" spans="2:7">
      <c r="B333" s="1091">
        <v>20.54</v>
      </c>
      <c r="C333" s="640" t="s">
        <v>1730</v>
      </c>
      <c r="D333" s="634" t="s">
        <v>1175</v>
      </c>
      <c r="E333" s="647">
        <f>+'20,54'!H49</f>
        <v>467917</v>
      </c>
      <c r="F333" s="801"/>
      <c r="G333" s="1151">
        <f t="shared" si="20"/>
        <v>467917</v>
      </c>
    </row>
    <row r="334" spans="2:7">
      <c r="B334" s="1129">
        <v>21</v>
      </c>
      <c r="C334" s="1041" t="s">
        <v>799</v>
      </c>
      <c r="D334" s="1130"/>
      <c r="E334" s="1131"/>
      <c r="F334" s="801"/>
      <c r="G334" s="8"/>
    </row>
    <row r="335" spans="2:7">
      <c r="B335" s="638">
        <v>21.1</v>
      </c>
      <c r="C335" s="1088" t="s">
        <v>1513</v>
      </c>
      <c r="D335" s="634" t="s">
        <v>1175</v>
      </c>
      <c r="E335" s="646">
        <f>+'21,1'!H47</f>
        <v>10920</v>
      </c>
      <c r="F335" s="801">
        <v>10644</v>
      </c>
      <c r="G335" s="8">
        <f t="shared" ref="G335:G340" si="21">+E335-F335</f>
        <v>276</v>
      </c>
    </row>
    <row r="336" spans="2:7">
      <c r="B336" s="638">
        <v>21.2</v>
      </c>
      <c r="C336" s="640" t="s">
        <v>1515</v>
      </c>
      <c r="D336" s="634" t="s">
        <v>1175</v>
      </c>
      <c r="E336" s="646">
        <f>+'21,2'!H47</f>
        <v>15288</v>
      </c>
      <c r="F336" s="801">
        <v>10644</v>
      </c>
      <c r="G336" s="8">
        <f t="shared" si="21"/>
        <v>4644</v>
      </c>
    </row>
    <row r="337" spans="1:7">
      <c r="B337" s="638">
        <v>21.3</v>
      </c>
      <c r="C337" s="640" t="s">
        <v>1517</v>
      </c>
      <c r="D337" s="634" t="s">
        <v>1175</v>
      </c>
      <c r="E337" s="646">
        <f>+'21,3'!H48</f>
        <v>28850</v>
      </c>
      <c r="F337" s="801">
        <v>12272</v>
      </c>
      <c r="G337" s="8">
        <f t="shared" si="21"/>
        <v>16578</v>
      </c>
    </row>
    <row r="338" spans="1:7">
      <c r="B338" s="638">
        <v>21.4</v>
      </c>
      <c r="C338" s="640" t="s">
        <v>1519</v>
      </c>
      <c r="D338" s="634" t="s">
        <v>1175</v>
      </c>
      <c r="E338" s="646">
        <f>+'21,4'!H48</f>
        <v>71453</v>
      </c>
      <c r="F338" s="801">
        <v>28202</v>
      </c>
      <c r="G338" s="8">
        <f t="shared" si="21"/>
        <v>43251</v>
      </c>
    </row>
    <row r="339" spans="1:7">
      <c r="B339" s="638">
        <v>21.5</v>
      </c>
      <c r="C339" s="640" t="s">
        <v>1521</v>
      </c>
      <c r="D339" s="634" t="s">
        <v>1175</v>
      </c>
      <c r="E339" s="646">
        <f>+'21,5'!H48</f>
        <v>139335</v>
      </c>
      <c r="F339" s="801">
        <v>70505</v>
      </c>
      <c r="G339" s="8">
        <f t="shared" si="21"/>
        <v>68830</v>
      </c>
    </row>
    <row r="340" spans="1:7">
      <c r="B340" s="638">
        <v>21.6</v>
      </c>
      <c r="C340" s="640" t="s">
        <v>1523</v>
      </c>
      <c r="D340" s="634" t="s">
        <v>1175</v>
      </c>
      <c r="E340" s="646">
        <f>+'21,6'!H48</f>
        <v>167201</v>
      </c>
      <c r="F340" s="801">
        <v>149982</v>
      </c>
      <c r="G340" s="8">
        <f t="shared" si="21"/>
        <v>17219</v>
      </c>
    </row>
    <row r="341" spans="1:7">
      <c r="B341" s="635">
        <v>22</v>
      </c>
      <c r="C341" s="639" t="s">
        <v>800</v>
      </c>
      <c r="D341" s="634"/>
      <c r="E341" s="646"/>
      <c r="F341" s="801"/>
      <c r="G341" s="8"/>
    </row>
    <row r="342" spans="1:7">
      <c r="A342" s="1132"/>
      <c r="B342" s="633">
        <v>22.1</v>
      </c>
      <c r="C342" s="1089" t="s">
        <v>1550</v>
      </c>
      <c r="D342" s="634" t="s">
        <v>1175</v>
      </c>
      <c r="E342" s="646">
        <f>'22,1'!H47</f>
        <v>46159</v>
      </c>
      <c r="F342" s="801">
        <v>35677</v>
      </c>
      <c r="G342" s="8">
        <f t="shared" ref="G342:G351" si="22">+E342-F342</f>
        <v>10482</v>
      </c>
    </row>
    <row r="343" spans="1:7">
      <c r="A343" s="1132"/>
      <c r="B343" s="633">
        <v>22.2</v>
      </c>
      <c r="C343" s="1089" t="s">
        <v>1549</v>
      </c>
      <c r="D343" s="634" t="s">
        <v>1175</v>
      </c>
      <c r="E343" s="646">
        <f>+'22,2'!H47</f>
        <v>70439</v>
      </c>
      <c r="F343" s="801">
        <v>61788</v>
      </c>
      <c r="G343" s="8">
        <f t="shared" si="22"/>
        <v>8651</v>
      </c>
    </row>
    <row r="344" spans="1:7">
      <c r="A344" s="1132"/>
      <c r="B344" s="633">
        <v>22.3</v>
      </c>
      <c r="C344" s="1089" t="s">
        <v>995</v>
      </c>
      <c r="D344" s="634" t="s">
        <v>1175</v>
      </c>
      <c r="E344" s="646">
        <f>+'22,3'!H47</f>
        <v>16894</v>
      </c>
      <c r="F344" s="801">
        <v>11699</v>
      </c>
      <c r="G344" s="8">
        <f t="shared" si="22"/>
        <v>5195</v>
      </c>
    </row>
    <row r="345" spans="1:7">
      <c r="A345" s="1132"/>
      <c r="B345" s="633">
        <v>22.4</v>
      </c>
      <c r="C345" s="1089" t="s">
        <v>996</v>
      </c>
      <c r="D345" s="634" t="s">
        <v>1175</v>
      </c>
      <c r="E345" s="646">
        <f>+'22,4'!H47</f>
        <v>30717</v>
      </c>
      <c r="F345" s="801">
        <v>35409</v>
      </c>
      <c r="G345" s="8">
        <f t="shared" si="22"/>
        <v>-4692</v>
      </c>
    </row>
    <row r="346" spans="1:7">
      <c r="A346" s="1132"/>
      <c r="B346" s="633">
        <v>22.5</v>
      </c>
      <c r="C346" s="1089" t="s">
        <v>1694</v>
      </c>
      <c r="D346" s="634" t="s">
        <v>1175</v>
      </c>
      <c r="E346" s="646">
        <f>+'22,5'!H48</f>
        <v>84703</v>
      </c>
      <c r="F346" s="801">
        <v>31728</v>
      </c>
      <c r="G346" s="8">
        <f t="shared" si="22"/>
        <v>52975</v>
      </c>
    </row>
    <row r="347" spans="1:7">
      <c r="A347" s="1132"/>
      <c r="B347" s="633">
        <v>22.6</v>
      </c>
      <c r="C347" s="1089" t="s">
        <v>1695</v>
      </c>
      <c r="D347" s="634" t="s">
        <v>1175</v>
      </c>
      <c r="E347" s="646">
        <f>+'22,6'!H48</f>
        <v>105730</v>
      </c>
      <c r="F347" s="801">
        <v>42385</v>
      </c>
      <c r="G347" s="8">
        <f t="shared" si="22"/>
        <v>63345</v>
      </c>
    </row>
    <row r="348" spans="1:7">
      <c r="A348" s="1132"/>
      <c r="B348" s="633">
        <v>22.7</v>
      </c>
      <c r="C348" s="640" t="s">
        <v>1696</v>
      </c>
      <c r="D348" s="634" t="s">
        <v>1175</v>
      </c>
      <c r="E348" s="646">
        <f>+'22,7'!H48</f>
        <v>161765</v>
      </c>
      <c r="F348" s="801">
        <v>50076</v>
      </c>
      <c r="G348" s="8">
        <f t="shared" si="22"/>
        <v>111689</v>
      </c>
    </row>
    <row r="349" spans="1:7">
      <c r="A349" s="1132"/>
      <c r="B349" s="633">
        <v>22.8</v>
      </c>
      <c r="C349" s="640" t="s">
        <v>1697</v>
      </c>
      <c r="D349" s="634" t="s">
        <v>1175</v>
      </c>
      <c r="E349" s="646">
        <f>+'22,8'!H48</f>
        <v>365753</v>
      </c>
      <c r="F349" s="801">
        <v>154502</v>
      </c>
      <c r="G349" s="8">
        <f t="shared" si="22"/>
        <v>211251</v>
      </c>
    </row>
    <row r="350" spans="1:7">
      <c r="A350" s="1132"/>
      <c r="B350" s="633">
        <v>22.9</v>
      </c>
      <c r="C350" s="640" t="s">
        <v>1698</v>
      </c>
      <c r="D350" s="634" t="s">
        <v>1175</v>
      </c>
      <c r="E350" s="646">
        <f>+'22,9'!H48</f>
        <v>737203</v>
      </c>
      <c r="F350" s="801">
        <v>346123</v>
      </c>
      <c r="G350" s="8">
        <f t="shared" si="22"/>
        <v>391080</v>
      </c>
    </row>
    <row r="351" spans="1:7">
      <c r="A351" s="1132"/>
      <c r="B351" s="1090">
        <v>22.1</v>
      </c>
      <c r="C351" s="640" t="s">
        <v>1699</v>
      </c>
      <c r="D351" s="634" t="s">
        <v>1175</v>
      </c>
      <c r="E351" s="646">
        <f>+'22,10'!H48</f>
        <v>1748768</v>
      </c>
      <c r="F351" s="801">
        <v>538034</v>
      </c>
      <c r="G351" s="8">
        <f t="shared" si="22"/>
        <v>1210734</v>
      </c>
    </row>
    <row r="352" spans="1:7">
      <c r="A352" s="921" t="s">
        <v>1299</v>
      </c>
      <c r="B352" s="1090">
        <v>22.11</v>
      </c>
      <c r="C352" s="640" t="s">
        <v>1526</v>
      </c>
      <c r="D352" s="634" t="s">
        <v>1175</v>
      </c>
      <c r="E352" s="646">
        <f>+'22,11'!H48</f>
        <v>19505</v>
      </c>
      <c r="F352" s="801"/>
      <c r="G352" s="8"/>
    </row>
    <row r="353" spans="1:7">
      <c r="A353" s="921" t="s">
        <v>1299</v>
      </c>
      <c r="B353" s="1090">
        <v>22.12</v>
      </c>
      <c r="C353" s="640" t="s">
        <v>1527</v>
      </c>
      <c r="D353" s="634" t="s">
        <v>1175</v>
      </c>
      <c r="E353" s="646">
        <f>+'22,12'!H48</f>
        <v>26830</v>
      </c>
      <c r="F353" s="801"/>
      <c r="G353" s="8"/>
    </row>
    <row r="354" spans="1:7">
      <c r="A354" s="921" t="s">
        <v>1299</v>
      </c>
      <c r="B354" s="1090">
        <v>22.13</v>
      </c>
      <c r="C354" s="640" t="s">
        <v>1528</v>
      </c>
      <c r="D354" s="634" t="s">
        <v>1175</v>
      </c>
      <c r="E354" s="646">
        <f>+'22,13'!H48</f>
        <v>38502</v>
      </c>
      <c r="F354" s="801"/>
      <c r="G354" s="8"/>
    </row>
    <row r="355" spans="1:7">
      <c r="A355" s="921" t="s">
        <v>1299</v>
      </c>
      <c r="B355" s="1090">
        <v>22.14</v>
      </c>
      <c r="C355" s="640" t="s">
        <v>1529</v>
      </c>
      <c r="D355" s="634" t="s">
        <v>1175</v>
      </c>
      <c r="E355" s="646">
        <f>+'22,14'!H48</f>
        <v>64211</v>
      </c>
      <c r="F355" s="801"/>
      <c r="G355" s="8"/>
    </row>
    <row r="356" spans="1:7">
      <c r="A356" s="921" t="s">
        <v>1299</v>
      </c>
      <c r="B356" s="1090">
        <v>22.15</v>
      </c>
      <c r="C356" s="640" t="s">
        <v>1530</v>
      </c>
      <c r="D356" s="634" t="s">
        <v>1175</v>
      </c>
      <c r="E356" s="646">
        <f>+'22,15'!H48</f>
        <v>102747</v>
      </c>
      <c r="F356" s="801"/>
      <c r="G356" s="8"/>
    </row>
    <row r="357" spans="1:7">
      <c r="A357" s="921" t="s">
        <v>1299</v>
      </c>
      <c r="B357" s="1090">
        <v>22.16</v>
      </c>
      <c r="C357" s="640" t="s">
        <v>1531</v>
      </c>
      <c r="D357" s="634" t="s">
        <v>1175</v>
      </c>
      <c r="E357" s="646">
        <f>+'22,16'!H48</f>
        <v>151938</v>
      </c>
      <c r="F357" s="801"/>
      <c r="G357" s="8"/>
    </row>
    <row r="358" spans="1:7">
      <c r="B358" s="1090">
        <v>22.17</v>
      </c>
      <c r="C358" s="1089" t="s">
        <v>1377</v>
      </c>
      <c r="D358" s="634" t="s">
        <v>1256</v>
      </c>
      <c r="E358" s="646">
        <f>+'22,17'!H47</f>
        <v>6694</v>
      </c>
      <c r="F358" s="801">
        <v>6694</v>
      </c>
      <c r="G358" s="8">
        <f>+E358-F358</f>
        <v>0</v>
      </c>
    </row>
    <row r="359" spans="1:7">
      <c r="B359" s="1090">
        <v>22.18</v>
      </c>
      <c r="C359" s="1089" t="s">
        <v>1378</v>
      </c>
      <c r="D359" s="634" t="s">
        <v>1256</v>
      </c>
      <c r="E359" s="646">
        <f>+'22,18'!H47</f>
        <v>10276</v>
      </c>
      <c r="F359" s="801">
        <v>10276</v>
      </c>
      <c r="G359" s="8">
        <f>+E359-F359</f>
        <v>0</v>
      </c>
    </row>
    <row r="360" spans="1:7">
      <c r="A360" s="921" t="s">
        <v>1299</v>
      </c>
      <c r="B360" s="1090">
        <v>22.19</v>
      </c>
      <c r="C360" s="1089" t="s">
        <v>1315</v>
      </c>
      <c r="D360" s="634" t="s">
        <v>1175</v>
      </c>
      <c r="E360" s="646">
        <f>+'22,19'!H48</f>
        <v>43588</v>
      </c>
      <c r="F360" s="922"/>
      <c r="G360" s="8"/>
    </row>
    <row r="361" spans="1:7">
      <c r="A361" s="921" t="s">
        <v>1299</v>
      </c>
      <c r="B361" s="1090">
        <v>22.2</v>
      </c>
      <c r="C361" s="1089" t="s">
        <v>1316</v>
      </c>
      <c r="D361" s="634" t="s">
        <v>1175</v>
      </c>
      <c r="E361" s="646">
        <f>+'22,20'!H48</f>
        <v>43588</v>
      </c>
      <c r="F361" s="922"/>
      <c r="G361" s="8"/>
    </row>
    <row r="362" spans="1:7">
      <c r="A362" s="921" t="s">
        <v>1299</v>
      </c>
      <c r="B362" s="1090">
        <v>22.21</v>
      </c>
      <c r="C362" s="1089" t="s">
        <v>1317</v>
      </c>
      <c r="D362" s="634" t="s">
        <v>1175</v>
      </c>
      <c r="E362" s="646">
        <f>+'22,21'!H48</f>
        <v>52541</v>
      </c>
      <c r="F362" s="922"/>
      <c r="G362" s="8"/>
    </row>
    <row r="363" spans="1:7">
      <c r="A363" s="921" t="s">
        <v>1299</v>
      </c>
      <c r="B363" s="1090">
        <v>22.22</v>
      </c>
      <c r="C363" s="1089" t="s">
        <v>1318</v>
      </c>
      <c r="D363" s="634" t="s">
        <v>1175</v>
      </c>
      <c r="E363" s="646">
        <f>+'22,22'!H48</f>
        <v>52674</v>
      </c>
      <c r="F363" s="922"/>
      <c r="G363" s="8"/>
    </row>
    <row r="364" spans="1:7">
      <c r="A364" s="921" t="s">
        <v>1299</v>
      </c>
      <c r="B364" s="1090">
        <v>22.23</v>
      </c>
      <c r="C364" s="1089" t="s">
        <v>1319</v>
      </c>
      <c r="D364" s="634" t="s">
        <v>1175</v>
      </c>
      <c r="E364" s="646">
        <f>+'22,23'!H48</f>
        <v>100538</v>
      </c>
      <c r="F364" s="922"/>
      <c r="G364" s="8"/>
    </row>
    <row r="365" spans="1:7">
      <c r="A365" s="921" t="s">
        <v>1299</v>
      </c>
      <c r="B365" s="1090">
        <v>22.24</v>
      </c>
      <c r="C365" s="1089" t="s">
        <v>1320</v>
      </c>
      <c r="D365" s="634" t="s">
        <v>1175</v>
      </c>
      <c r="E365" s="646">
        <f>+'22,24'!H48</f>
        <v>99396</v>
      </c>
      <c r="F365" s="922"/>
      <c r="G365" s="8"/>
    </row>
    <row r="366" spans="1:7">
      <c r="A366" s="921" t="s">
        <v>1299</v>
      </c>
      <c r="B366" s="1090">
        <v>22.25</v>
      </c>
      <c r="C366" s="1089" t="s">
        <v>1325</v>
      </c>
      <c r="D366" s="634" t="s">
        <v>1175</v>
      </c>
      <c r="E366" s="646">
        <f>+'22,25'!H48</f>
        <v>135575</v>
      </c>
      <c r="F366" s="801"/>
      <c r="G366" s="8"/>
    </row>
    <row r="367" spans="1:7">
      <c r="A367" s="921"/>
      <c r="B367" s="1090">
        <v>22.26</v>
      </c>
      <c r="C367" s="1089" t="s">
        <v>1357</v>
      </c>
      <c r="D367" s="634" t="s">
        <v>1175</v>
      </c>
      <c r="E367" s="646">
        <f>+'22,26'!H48</f>
        <v>75537</v>
      </c>
      <c r="F367" s="801">
        <v>37997</v>
      </c>
      <c r="G367" s="8">
        <f t="shared" ref="G367:G380" si="23">+E367-F367</f>
        <v>37540</v>
      </c>
    </row>
    <row r="368" spans="1:7">
      <c r="A368" s="921"/>
      <c r="B368" s="1090">
        <v>22.27</v>
      </c>
      <c r="C368" s="1089" t="s">
        <v>1358</v>
      </c>
      <c r="D368" s="634" t="s">
        <v>1175</v>
      </c>
      <c r="E368" s="646">
        <f>+'22,27'!H48</f>
        <v>77520</v>
      </c>
      <c r="F368" s="801">
        <v>37238</v>
      </c>
      <c r="G368" s="8">
        <f t="shared" si="23"/>
        <v>40282</v>
      </c>
    </row>
    <row r="369" spans="1:7">
      <c r="A369" s="921"/>
      <c r="B369" s="1090">
        <v>22.28</v>
      </c>
      <c r="C369" s="640" t="s">
        <v>1359</v>
      </c>
      <c r="D369" s="634" t="s">
        <v>1175</v>
      </c>
      <c r="E369" s="646">
        <f>+'22,28'!H48</f>
        <v>93431</v>
      </c>
      <c r="F369" s="801">
        <v>62318</v>
      </c>
      <c r="G369" s="8">
        <f t="shared" si="23"/>
        <v>31113</v>
      </c>
    </row>
    <row r="370" spans="1:7">
      <c r="A370" s="921"/>
      <c r="B370" s="1090">
        <v>22.29</v>
      </c>
      <c r="C370" s="1089" t="s">
        <v>1334</v>
      </c>
      <c r="D370" s="634" t="s">
        <v>1175</v>
      </c>
      <c r="E370" s="646">
        <f>+'22,29'!H47</f>
        <v>86076</v>
      </c>
      <c r="F370" s="801">
        <v>33505</v>
      </c>
      <c r="G370" s="8">
        <f t="shared" si="23"/>
        <v>52571</v>
      </c>
    </row>
    <row r="371" spans="1:7">
      <c r="A371" s="921"/>
      <c r="B371" s="1091">
        <v>22.3</v>
      </c>
      <c r="C371" s="1089" t="s">
        <v>1335</v>
      </c>
      <c r="D371" s="634" t="s">
        <v>1175</v>
      </c>
      <c r="E371" s="646">
        <f>+'22,30'!H48</f>
        <v>88059</v>
      </c>
      <c r="F371" s="801">
        <v>39934</v>
      </c>
      <c r="G371" s="8">
        <f t="shared" si="23"/>
        <v>48125</v>
      </c>
    </row>
    <row r="372" spans="1:7">
      <c r="A372" s="921"/>
      <c r="B372" s="1091">
        <v>22.31</v>
      </c>
      <c r="C372" s="1089" t="s">
        <v>1336</v>
      </c>
      <c r="D372" s="634" t="s">
        <v>1175</v>
      </c>
      <c r="E372" s="646">
        <f>+'22,31'!H48</f>
        <v>101891</v>
      </c>
      <c r="F372" s="801">
        <v>67466</v>
      </c>
      <c r="G372" s="8">
        <f t="shared" si="23"/>
        <v>34425</v>
      </c>
    </row>
    <row r="373" spans="1:7">
      <c r="A373" s="921"/>
      <c r="B373" s="1091">
        <v>22.32</v>
      </c>
      <c r="C373" s="1089" t="s">
        <v>1337</v>
      </c>
      <c r="D373" s="634" t="s">
        <v>1175</v>
      </c>
      <c r="E373" s="646">
        <f>+'22,32'!H48</f>
        <v>140243</v>
      </c>
      <c r="F373" s="801">
        <v>62318</v>
      </c>
      <c r="G373" s="8">
        <f t="shared" si="23"/>
        <v>77925</v>
      </c>
    </row>
    <row r="374" spans="1:7">
      <c r="A374" s="921"/>
      <c r="B374" s="1091">
        <v>22.33</v>
      </c>
      <c r="C374" s="1089" t="s">
        <v>1338</v>
      </c>
      <c r="D374" s="634" t="s">
        <v>1175</v>
      </c>
      <c r="E374" s="646">
        <f>+'22,33'!H48</f>
        <v>142226</v>
      </c>
      <c r="F374" s="801">
        <v>67466</v>
      </c>
      <c r="G374" s="8">
        <f t="shared" si="23"/>
        <v>74760</v>
      </c>
    </row>
    <row r="375" spans="1:7">
      <c r="A375" s="921"/>
      <c r="B375" s="1091">
        <v>22.34</v>
      </c>
      <c r="C375" s="1089" t="s">
        <v>1339</v>
      </c>
      <c r="D375" s="634" t="s">
        <v>1175</v>
      </c>
      <c r="E375" s="646">
        <f>+'22,34'!H48</f>
        <v>159030</v>
      </c>
      <c r="F375" s="801">
        <v>60821</v>
      </c>
      <c r="G375" s="8">
        <f t="shared" si="23"/>
        <v>98209</v>
      </c>
    </row>
    <row r="376" spans="1:7" ht="28.8">
      <c r="A376" s="422"/>
      <c r="B376" s="1091">
        <v>22.35</v>
      </c>
      <c r="C376" s="1092" t="s">
        <v>1568</v>
      </c>
      <c r="D376" s="634" t="s">
        <v>1175</v>
      </c>
      <c r="E376" s="647">
        <f>+'22,35'!H48</f>
        <v>765008</v>
      </c>
      <c r="F376" s="801">
        <v>636106</v>
      </c>
      <c r="G376" s="8">
        <f t="shared" si="23"/>
        <v>128902</v>
      </c>
    </row>
    <row r="377" spans="1:7" ht="28.8">
      <c r="A377" s="422"/>
      <c r="B377" s="1091">
        <v>22.36</v>
      </c>
      <c r="C377" s="1092" t="s">
        <v>1569</v>
      </c>
      <c r="D377" s="634" t="s">
        <v>1175</v>
      </c>
      <c r="E377" s="647">
        <f>+'22,36'!H48</f>
        <v>1110309</v>
      </c>
      <c r="F377" s="801">
        <v>1029862</v>
      </c>
      <c r="G377" s="8">
        <f t="shared" si="23"/>
        <v>80447</v>
      </c>
    </row>
    <row r="378" spans="1:7" ht="28.8">
      <c r="A378" s="422"/>
      <c r="B378" s="1091">
        <v>22.37</v>
      </c>
      <c r="C378" s="1092" t="s">
        <v>1663</v>
      </c>
      <c r="D378" s="634" t="s">
        <v>1175</v>
      </c>
      <c r="E378" s="647">
        <f>+'22,37'!H48</f>
        <v>1354843</v>
      </c>
      <c r="F378" s="801">
        <v>1191822</v>
      </c>
      <c r="G378" s="8">
        <f t="shared" si="23"/>
        <v>163021</v>
      </c>
    </row>
    <row r="379" spans="1:7" ht="28.8">
      <c r="A379" s="422"/>
      <c r="B379" s="1091">
        <v>22.38</v>
      </c>
      <c r="C379" s="1092" t="s">
        <v>1570</v>
      </c>
      <c r="D379" s="634" t="s">
        <v>1175</v>
      </c>
      <c r="E379" s="647">
        <f>+'22,38'!H48</f>
        <v>2820924</v>
      </c>
      <c r="F379" s="801">
        <v>2286909</v>
      </c>
      <c r="G379" s="8">
        <f t="shared" si="23"/>
        <v>534015</v>
      </c>
    </row>
    <row r="380" spans="1:7" ht="28.8">
      <c r="A380" s="422"/>
      <c r="B380" s="1091">
        <v>22.39</v>
      </c>
      <c r="C380" s="1092" t="s">
        <v>1571</v>
      </c>
      <c r="D380" s="634" t="s">
        <v>1175</v>
      </c>
      <c r="E380" s="647">
        <f>+'22,39'!H48</f>
        <v>4171016</v>
      </c>
      <c r="F380" s="801">
        <v>3948112</v>
      </c>
      <c r="G380" s="8">
        <f t="shared" si="23"/>
        <v>222904</v>
      </c>
    </row>
    <row r="381" spans="1:7" ht="28.8">
      <c r="A381" s="422"/>
      <c r="B381" s="1091">
        <v>22.4</v>
      </c>
      <c r="C381" s="1092" t="s">
        <v>1572</v>
      </c>
      <c r="D381" s="634" t="s">
        <v>1175</v>
      </c>
      <c r="E381" s="647">
        <f>+'22,40'!H48</f>
        <v>6939008</v>
      </c>
      <c r="F381" s="801"/>
      <c r="G381" s="8"/>
    </row>
    <row r="382" spans="1:7" ht="28.8">
      <c r="A382" s="422"/>
      <c r="B382" s="1091">
        <v>22.41</v>
      </c>
      <c r="C382" s="1092" t="s">
        <v>1573</v>
      </c>
      <c r="D382" s="634" t="s">
        <v>1175</v>
      </c>
      <c r="E382" s="647">
        <f>+'22,41'!H48</f>
        <v>10596542</v>
      </c>
      <c r="F382" s="801"/>
      <c r="G382" s="8"/>
    </row>
    <row r="383" spans="1:7" ht="28.8">
      <c r="A383" s="422"/>
      <c r="B383" s="1091">
        <v>22.42</v>
      </c>
      <c r="C383" s="1092" t="s">
        <v>1574</v>
      </c>
      <c r="D383" s="634" t="s">
        <v>1175</v>
      </c>
      <c r="E383" s="647">
        <f>+'22,42'!H48</f>
        <v>16043720</v>
      </c>
      <c r="F383" s="801"/>
      <c r="G383" s="8"/>
    </row>
    <row r="384" spans="1:7" ht="28.8">
      <c r="A384" s="422"/>
      <c r="B384" s="1091">
        <v>22.43</v>
      </c>
      <c r="C384" s="1092" t="s">
        <v>1575</v>
      </c>
      <c r="D384" s="634" t="s">
        <v>1175</v>
      </c>
      <c r="E384" s="647">
        <f>+'22,43'!H48</f>
        <v>22599879</v>
      </c>
      <c r="F384" s="801"/>
      <c r="G384" s="8"/>
    </row>
    <row r="385" spans="1:7" ht="28.8">
      <c r="A385" s="422"/>
      <c r="B385" s="1091">
        <v>22.44</v>
      </c>
      <c r="C385" s="1092" t="s">
        <v>1576</v>
      </c>
      <c r="D385" s="634" t="s">
        <v>1175</v>
      </c>
      <c r="E385" s="647">
        <f>+'22,44'!H48</f>
        <v>44970864</v>
      </c>
      <c r="F385" s="801"/>
      <c r="G385" s="8"/>
    </row>
    <row r="386" spans="1:7" ht="28.8">
      <c r="A386" s="422"/>
      <c r="B386" s="1091">
        <v>22.45</v>
      </c>
      <c r="C386" s="1092" t="s">
        <v>1577</v>
      </c>
      <c r="D386" s="634" t="s">
        <v>1175</v>
      </c>
      <c r="E386" s="647">
        <f>+'22,45'!H48</f>
        <v>50481966</v>
      </c>
      <c r="F386" s="801"/>
      <c r="G386" s="8"/>
    </row>
    <row r="387" spans="1:7">
      <c r="B387" s="1091">
        <v>22.46</v>
      </c>
      <c r="C387" s="1092" t="s">
        <v>838</v>
      </c>
      <c r="D387" s="634" t="s">
        <v>1175</v>
      </c>
      <c r="E387" s="646">
        <f>+'22,46'!H48</f>
        <v>1068066</v>
      </c>
      <c r="F387" s="801">
        <v>324373</v>
      </c>
      <c r="G387" s="8">
        <f t="shared" ref="G387:G392" si="24">+E387-F387</f>
        <v>743693</v>
      </c>
    </row>
    <row r="388" spans="1:7">
      <c r="B388" s="1091">
        <v>22.47</v>
      </c>
      <c r="C388" s="1092" t="s">
        <v>839</v>
      </c>
      <c r="D388" s="634" t="s">
        <v>1175</v>
      </c>
      <c r="E388" s="646">
        <f>+'22,47'!H48</f>
        <v>1142248</v>
      </c>
      <c r="F388" s="801">
        <v>602773</v>
      </c>
      <c r="G388" s="8">
        <f t="shared" si="24"/>
        <v>539475</v>
      </c>
    </row>
    <row r="389" spans="1:7">
      <c r="B389" s="1091">
        <v>22.48</v>
      </c>
      <c r="C389" s="1092" t="s">
        <v>840</v>
      </c>
      <c r="D389" s="634" t="s">
        <v>1175</v>
      </c>
      <c r="E389" s="646">
        <f>+'22,48'!H48</f>
        <v>1270235</v>
      </c>
      <c r="F389" s="801">
        <v>944973</v>
      </c>
      <c r="G389" s="8">
        <f t="shared" si="24"/>
        <v>325262</v>
      </c>
    </row>
    <row r="390" spans="1:7">
      <c r="B390" s="1091">
        <v>22.49</v>
      </c>
      <c r="C390" s="1092" t="s">
        <v>841</v>
      </c>
      <c r="D390" s="634" t="s">
        <v>1175</v>
      </c>
      <c r="E390" s="646">
        <f>+'22,49'!H48</f>
        <v>2212429</v>
      </c>
      <c r="F390" s="801">
        <v>1323423</v>
      </c>
      <c r="G390" s="8">
        <f t="shared" si="24"/>
        <v>889006</v>
      </c>
    </row>
    <row r="391" spans="1:7">
      <c r="B391" s="1091">
        <v>22.5</v>
      </c>
      <c r="C391" s="1092" t="s">
        <v>842</v>
      </c>
      <c r="D391" s="634" t="s">
        <v>1175</v>
      </c>
      <c r="E391" s="646">
        <f>+'22,50'!H48</f>
        <v>5760251</v>
      </c>
      <c r="F391" s="801">
        <v>1594062</v>
      </c>
      <c r="G391" s="8">
        <f t="shared" si="24"/>
        <v>4166189</v>
      </c>
    </row>
    <row r="392" spans="1:7">
      <c r="B392" s="1091">
        <v>22.51</v>
      </c>
      <c r="C392" s="1092" t="s">
        <v>843</v>
      </c>
      <c r="D392" s="634" t="s">
        <v>1175</v>
      </c>
      <c r="E392" s="646">
        <f>+'22,51'!H48</f>
        <v>9208751</v>
      </c>
      <c r="F392" s="801">
        <v>2598912</v>
      </c>
      <c r="G392" s="8">
        <f t="shared" si="24"/>
        <v>6609839</v>
      </c>
    </row>
    <row r="393" spans="1:7">
      <c r="B393" s="637">
        <v>23</v>
      </c>
      <c r="C393" s="641" t="s">
        <v>1023</v>
      </c>
      <c r="D393" s="645"/>
      <c r="E393" s="641"/>
      <c r="F393" s="801"/>
      <c r="G393" s="8"/>
    </row>
    <row r="394" spans="1:7">
      <c r="B394" s="635">
        <v>23.1</v>
      </c>
      <c r="C394" s="639" t="s">
        <v>801</v>
      </c>
      <c r="D394" s="634"/>
      <c r="E394" s="648"/>
      <c r="F394" s="801"/>
      <c r="G394" s="8"/>
    </row>
    <row r="395" spans="1:7">
      <c r="B395" s="633" t="s">
        <v>1464</v>
      </c>
      <c r="C395" s="640" t="s">
        <v>802</v>
      </c>
      <c r="D395" s="634" t="s">
        <v>1256</v>
      </c>
      <c r="E395" s="646">
        <f>+'23,1,1'!H47</f>
        <v>10361</v>
      </c>
      <c r="F395" s="801">
        <v>9295</v>
      </c>
      <c r="G395" s="8">
        <f t="shared" ref="G395:G405" si="25">+E395-F395</f>
        <v>1066</v>
      </c>
    </row>
    <row r="396" spans="1:7">
      <c r="B396" s="633" t="s">
        <v>1465</v>
      </c>
      <c r="C396" s="640" t="s">
        <v>803</v>
      </c>
      <c r="D396" s="634" t="s">
        <v>1256</v>
      </c>
      <c r="E396" s="646">
        <f>+'23,1,2'!H48</f>
        <v>16067</v>
      </c>
      <c r="F396" s="801">
        <v>14413</v>
      </c>
      <c r="G396" s="8">
        <f t="shared" si="25"/>
        <v>1654</v>
      </c>
    </row>
    <row r="397" spans="1:7">
      <c r="B397" s="633" t="s">
        <v>1466</v>
      </c>
      <c r="C397" s="640" t="s">
        <v>804</v>
      </c>
      <c r="D397" s="634" t="s">
        <v>1256</v>
      </c>
      <c r="E397" s="646">
        <f>+'23,1,3'!H47</f>
        <v>20556</v>
      </c>
      <c r="F397" s="801">
        <v>18440</v>
      </c>
      <c r="G397" s="8">
        <f t="shared" si="25"/>
        <v>2116</v>
      </c>
    </row>
    <row r="398" spans="1:7">
      <c r="B398" s="633" t="s">
        <v>1467</v>
      </c>
      <c r="C398" s="640" t="s">
        <v>72</v>
      </c>
      <c r="D398" s="634" t="s">
        <v>1256</v>
      </c>
      <c r="E398" s="646">
        <f>+'23,1,4'!H48</f>
        <v>30549</v>
      </c>
      <c r="F398" s="801">
        <v>27404</v>
      </c>
      <c r="G398" s="8">
        <f t="shared" si="25"/>
        <v>3145</v>
      </c>
    </row>
    <row r="399" spans="1:7">
      <c r="B399" s="633" t="s">
        <v>1468</v>
      </c>
      <c r="C399" s="640" t="s">
        <v>805</v>
      </c>
      <c r="D399" s="634" t="s">
        <v>1256</v>
      </c>
      <c r="E399" s="646">
        <f>+'23,1,5'!H48</f>
        <v>40477</v>
      </c>
      <c r="F399" s="801">
        <v>36310</v>
      </c>
      <c r="G399" s="8">
        <f t="shared" si="25"/>
        <v>4167</v>
      </c>
    </row>
    <row r="400" spans="1:7">
      <c r="B400" s="633" t="s">
        <v>1469</v>
      </c>
      <c r="C400" s="640" t="s">
        <v>74</v>
      </c>
      <c r="D400" s="634" t="s">
        <v>1256</v>
      </c>
      <c r="E400" s="646">
        <f>+'23,1,6'!H48</f>
        <v>50811</v>
      </c>
      <c r="F400" s="801">
        <v>45579</v>
      </c>
      <c r="G400" s="8">
        <f t="shared" si="25"/>
        <v>5232</v>
      </c>
    </row>
    <row r="401" spans="2:7">
      <c r="B401" s="633" t="s">
        <v>1470</v>
      </c>
      <c r="C401" s="640" t="s">
        <v>75</v>
      </c>
      <c r="D401" s="634" t="s">
        <v>1256</v>
      </c>
      <c r="E401" s="646">
        <f>+'23,1,7'!H48</f>
        <v>70318</v>
      </c>
      <c r="F401" s="801">
        <v>66648</v>
      </c>
      <c r="G401" s="8">
        <f t="shared" si="25"/>
        <v>3670</v>
      </c>
    </row>
    <row r="402" spans="2:7">
      <c r="B402" s="633" t="s">
        <v>1471</v>
      </c>
      <c r="C402" s="640" t="s">
        <v>76</v>
      </c>
      <c r="D402" s="634" t="s">
        <v>1256</v>
      </c>
      <c r="E402" s="646">
        <f>+'23,1,8'!H48</f>
        <v>74299</v>
      </c>
      <c r="F402" s="801">
        <v>63078</v>
      </c>
      <c r="G402" s="8">
        <f t="shared" si="25"/>
        <v>11221</v>
      </c>
    </row>
    <row r="403" spans="2:7">
      <c r="B403" s="633" t="s">
        <v>1472</v>
      </c>
      <c r="C403" s="640" t="s">
        <v>77</v>
      </c>
      <c r="D403" s="634" t="s">
        <v>1256</v>
      </c>
      <c r="E403" s="646">
        <f>+'23,1,9'!H48</f>
        <v>89398</v>
      </c>
      <c r="F403" s="801">
        <v>80193</v>
      </c>
      <c r="G403" s="8">
        <f t="shared" si="25"/>
        <v>9205</v>
      </c>
    </row>
    <row r="404" spans="2:7">
      <c r="B404" s="633" t="s">
        <v>1473</v>
      </c>
      <c r="C404" s="640" t="s">
        <v>78</v>
      </c>
      <c r="D404" s="634" t="s">
        <v>1256</v>
      </c>
      <c r="E404" s="646">
        <f>+'23,1,10'!H48</f>
        <v>99467</v>
      </c>
      <c r="F404" s="801">
        <v>89224</v>
      </c>
      <c r="G404" s="8">
        <f t="shared" si="25"/>
        <v>10243</v>
      </c>
    </row>
    <row r="405" spans="2:7">
      <c r="B405" s="633" t="s">
        <v>1474</v>
      </c>
      <c r="C405" s="640" t="s">
        <v>79</v>
      </c>
      <c r="D405" s="634" t="s">
        <v>1256</v>
      </c>
      <c r="E405" s="646">
        <f>+'23,1,11'!H48</f>
        <v>115378</v>
      </c>
      <c r="F405" s="801">
        <v>103497</v>
      </c>
      <c r="G405" s="8">
        <f t="shared" si="25"/>
        <v>11881</v>
      </c>
    </row>
    <row r="406" spans="2:7">
      <c r="B406" s="637">
        <v>24</v>
      </c>
      <c r="C406" s="641" t="s">
        <v>1525</v>
      </c>
      <c r="D406" s="645"/>
      <c r="E406" s="641"/>
      <c r="F406" s="801"/>
      <c r="G406" s="8"/>
    </row>
    <row r="407" spans="2:7">
      <c r="B407" s="633">
        <v>24.1</v>
      </c>
      <c r="C407" s="639" t="s">
        <v>32</v>
      </c>
      <c r="D407" s="634"/>
      <c r="E407" s="648"/>
      <c r="F407" s="801"/>
      <c r="G407" s="8"/>
    </row>
    <row r="408" spans="2:7">
      <c r="B408" s="633" t="s">
        <v>1475</v>
      </c>
      <c r="C408" s="640" t="s">
        <v>802</v>
      </c>
      <c r="D408" s="634" t="s">
        <v>1256</v>
      </c>
      <c r="E408" s="646">
        <f>+'24,1,1'!H48</f>
        <v>26678</v>
      </c>
      <c r="F408" s="801">
        <v>25534</v>
      </c>
      <c r="G408" s="8">
        <f t="shared" ref="G408:G418" si="26">+E408-F408</f>
        <v>1144</v>
      </c>
    </row>
    <row r="409" spans="2:7">
      <c r="B409" s="633" t="s">
        <v>1476</v>
      </c>
      <c r="C409" s="640" t="s">
        <v>803</v>
      </c>
      <c r="D409" s="634" t="s">
        <v>1256</v>
      </c>
      <c r="E409" s="646">
        <f>+'24,1,2'!H48</f>
        <v>45789</v>
      </c>
      <c r="F409" s="801">
        <v>43426</v>
      </c>
      <c r="G409" s="8">
        <f t="shared" si="26"/>
        <v>2363</v>
      </c>
    </row>
    <row r="410" spans="2:7">
      <c r="B410" s="633" t="s">
        <v>1477</v>
      </c>
      <c r="C410" s="640" t="s">
        <v>804</v>
      </c>
      <c r="D410" s="634" t="s">
        <v>1256</v>
      </c>
      <c r="E410" s="646">
        <f>+'24,1,3'!H48</f>
        <v>69384</v>
      </c>
      <c r="F410" s="801">
        <v>65943</v>
      </c>
      <c r="G410" s="8">
        <f t="shared" si="26"/>
        <v>3441</v>
      </c>
    </row>
    <row r="411" spans="2:7">
      <c r="B411" s="633" t="s">
        <v>1478</v>
      </c>
      <c r="C411" s="640" t="s">
        <v>72</v>
      </c>
      <c r="D411" s="634" t="s">
        <v>1256</v>
      </c>
      <c r="E411" s="646">
        <f>+'24,1,4'!H47</f>
        <v>136778</v>
      </c>
      <c r="F411" s="801">
        <v>130462</v>
      </c>
      <c r="G411" s="8">
        <f t="shared" si="26"/>
        <v>6316</v>
      </c>
    </row>
    <row r="412" spans="2:7">
      <c r="B412" s="633" t="s">
        <v>1479</v>
      </c>
      <c r="C412" s="640" t="s">
        <v>805</v>
      </c>
      <c r="D412" s="634" t="s">
        <v>1256</v>
      </c>
      <c r="E412" s="646">
        <f>+'24,1,5'!H47</f>
        <v>220191</v>
      </c>
      <c r="F412" s="801">
        <v>210487</v>
      </c>
      <c r="G412" s="8">
        <f t="shared" si="26"/>
        <v>9704</v>
      </c>
    </row>
    <row r="413" spans="2:7">
      <c r="B413" s="633" t="s">
        <v>1480</v>
      </c>
      <c r="C413" s="640" t="s">
        <v>74</v>
      </c>
      <c r="D413" s="634" t="s">
        <v>1256</v>
      </c>
      <c r="E413" s="646">
        <f>+'24,1,6'!H47</f>
        <v>333529</v>
      </c>
      <c r="F413" s="801">
        <v>356737</v>
      </c>
      <c r="G413" s="8">
        <f t="shared" si="26"/>
        <v>-23208</v>
      </c>
    </row>
    <row r="414" spans="2:7">
      <c r="B414" s="633" t="s">
        <v>1481</v>
      </c>
      <c r="C414" s="640" t="s">
        <v>75</v>
      </c>
      <c r="D414" s="634" t="s">
        <v>1256</v>
      </c>
      <c r="E414" s="646">
        <f>+'24,1,7'!H47</f>
        <v>465763</v>
      </c>
      <c r="F414" s="801">
        <v>449615</v>
      </c>
      <c r="G414" s="8">
        <f t="shared" si="26"/>
        <v>16148</v>
      </c>
    </row>
    <row r="415" spans="2:7">
      <c r="B415" s="633" t="s">
        <v>1482</v>
      </c>
      <c r="C415" s="640" t="s">
        <v>76</v>
      </c>
      <c r="D415" s="634" t="s">
        <v>1256</v>
      </c>
      <c r="E415" s="646">
        <f>+'24,1,8'!H47</f>
        <v>564623</v>
      </c>
      <c r="F415" s="801">
        <v>537868</v>
      </c>
      <c r="G415" s="8">
        <f t="shared" si="26"/>
        <v>26755</v>
      </c>
    </row>
    <row r="416" spans="2:7">
      <c r="B416" s="633" t="s">
        <v>1483</v>
      </c>
      <c r="C416" s="640" t="s">
        <v>77</v>
      </c>
      <c r="D416" s="634" t="s">
        <v>1256</v>
      </c>
      <c r="E416" s="646">
        <f>+'24,1,9'!H47</f>
        <v>732852</v>
      </c>
      <c r="F416" s="801">
        <v>703186</v>
      </c>
      <c r="G416" s="8">
        <f t="shared" si="26"/>
        <v>29666</v>
      </c>
    </row>
    <row r="417" spans="2:7">
      <c r="B417" s="633" t="s">
        <v>1484</v>
      </c>
      <c r="C417" s="640" t="s">
        <v>78</v>
      </c>
      <c r="D417" s="634" t="s">
        <v>1256</v>
      </c>
      <c r="E417" s="646">
        <f>+'24,1,10'!H47</f>
        <v>925236</v>
      </c>
      <c r="F417" s="801">
        <v>888666</v>
      </c>
      <c r="G417" s="8">
        <f t="shared" si="26"/>
        <v>36570</v>
      </c>
    </row>
    <row r="418" spans="2:7" ht="15" thickBot="1">
      <c r="B418" s="1064" t="s">
        <v>1485</v>
      </c>
      <c r="C418" s="1093" t="s">
        <v>79</v>
      </c>
      <c r="D418" s="1065" t="s">
        <v>1256</v>
      </c>
      <c r="E418" s="1066">
        <f>+'24,1,11'!H47</f>
        <v>1143972</v>
      </c>
      <c r="F418" s="804">
        <v>1099154</v>
      </c>
      <c r="G418" s="8">
        <f t="shared" si="26"/>
        <v>44818</v>
      </c>
    </row>
  </sheetData>
  <mergeCells count="2">
    <mergeCell ref="C3:E3"/>
    <mergeCell ref="B8:C8"/>
  </mergeCells>
  <conditionalFormatting sqref="G10:G12">
    <cfRule type="iconSet" priority="3">
      <iconSet>
        <cfvo type="percent" val="0"/>
        <cfvo type="num" val="0"/>
        <cfvo type="num" val="0"/>
      </iconSet>
    </cfRule>
  </conditionalFormatting>
  <conditionalFormatting sqref="G13:G418">
    <cfRule type="iconSet" priority="21">
      <iconSet>
        <cfvo type="percent" val="0"/>
        <cfvo type="num" val="0"/>
        <cfvo type="num" val="0"/>
      </iconSet>
    </cfRule>
  </conditionalFormatting>
  <hyperlinks>
    <hyperlink ref="C24" location="'2,1'!A1" display="Demolición Muro sencillo  E=0,15"/>
    <hyperlink ref="C25" location="'2,2'!A1" display="Demolición Muro doble  E=0,25"/>
    <hyperlink ref="C27" location="'2,4'!A1" display="Demolición Estructura Concreto Ciclopeo (Medio mecanico)"/>
    <hyperlink ref="C28" location="'2,5'!A1" display="Demolición Estructura Concreto Reforzado (Medio mecanico)"/>
    <hyperlink ref="C31" location="'3,1'!A1" display="Excavaciones en material común "/>
    <hyperlink ref="C32" location="'3,2'!A1" display="Excavaciones en conglomerado "/>
    <hyperlink ref="C33" location="'3,3'!A1" display="Excavaciones en roca "/>
    <hyperlink ref="C35" location="'3,4'!A1" display="Excavaciones en material común "/>
    <hyperlink ref="C36" location="'3,5'!A1" display="Excavaciones en conglomerado "/>
    <hyperlink ref="C37" location="'3,6'!A1" display="Excavaciones en roca "/>
    <hyperlink ref="C39" location="'3,7'!A1" display="Excavaciones en material común "/>
    <hyperlink ref="C40" location="'3,8'!A1" display="Excavaciones en conglomerado "/>
    <hyperlink ref="C41" location="'3,9'!A1" display="Excavaciones en roca "/>
    <hyperlink ref="C43" location="'3,10'!A1" display="Excavaciones en material común "/>
    <hyperlink ref="C44" location="'3,11'!A1" display="Excavaciones en conglomerado "/>
    <hyperlink ref="C45" location="'3,12'!A1" display="Excavaciones en roca "/>
    <hyperlink ref="C47" location="'3,13'!A1" display="Excavaciones en material común "/>
    <hyperlink ref="C48" location="'3,14'!A1" display="Excavaciones en conglomerado "/>
    <hyperlink ref="C49" location="'3,15'!A1" display="Excavaciones en roca "/>
    <hyperlink ref="C52" location="'4,1'!A1" display="Excavaciones en material común y Conglomerado"/>
    <hyperlink ref="C53" location="'4,2'!A1" display="Excavaciones en roca "/>
    <hyperlink ref="C55" location="'4,3'!A1" display="Excavaciones en material común y Conglomerado"/>
    <hyperlink ref="C56" location="'4,4'!A1" display="Excavaciones en roca "/>
    <hyperlink ref="C58" location="'4,5'!A1" display="Excavaciones en material común y Conglomerado"/>
    <hyperlink ref="C59" location="'4,6'!A1" display="Excavaciones en roca "/>
    <hyperlink ref="C61" location="'4,7'!A1" display="Excavaciones en material común y Conglomerado"/>
    <hyperlink ref="C62" location="'4,8'!A1" display="Excavaciones en roca "/>
    <hyperlink ref="C64" location="'4,9'!A1" display="Excavaciones en material común y Conglomerado"/>
    <hyperlink ref="C65" location="'4,10'!A1" display="Excavaciones en roca "/>
    <hyperlink ref="C67" location="'4,11'!A1" display="Excavaciones en material común y Conglomerado"/>
    <hyperlink ref="C68" location="'4,12'!A1" display="Excavaciones en roca "/>
    <hyperlink ref="C87" location="'6,1'!A1" display="Cargue, suministro, extendida y compactación de base granular "/>
    <hyperlink ref="C88" location="'6,2'!A1" display="Cargue, suministro, extendida y compactación de sub-base granular "/>
    <hyperlink ref="C90" location="'6,4'!A1" display="Imprimación o Riego de Liga"/>
    <hyperlink ref="C91" location="'6,5'!A1" display="Suministro de mezcla asfáltica tipo rodadura sobre terminadora"/>
    <hyperlink ref="C92" location="'6,6'!A1" display="Aplicación carpeta asfáltica - incluye compactación"/>
    <hyperlink ref="C93" location="'6,7'!A1" display="Construcción placa en concreto 3000 p.s.i. e= 0,13 m. "/>
    <hyperlink ref="C94" location="'6,8'!A1" display="Construcción placa en concreto 3000 p.s.i. e= 0,15 m. "/>
    <hyperlink ref="C95" location="'6,9'!A1" display="Reconstrucción pavimento asfáltico E=2&quot; - Incluye mezcla asfáltica E=2&quot;, base granular, E=0,25 m, y sub- base E=0,30 m"/>
    <hyperlink ref="C96" location="'6,10'!A1" display="Reconstrucción pavimento asfáltico E=3&quot; - Incluye mezcla asfáltica E=3&quot;, base granular, E=0,25 m, y sub- base E=0,30 m"/>
    <hyperlink ref="C97" location="'6,11'!A1" display="Parcheo de  pavimento asfáltico - (Incluye imprimación o riego de liga, suministro, extendida y compactación de la mezcla asfáltica)"/>
    <hyperlink ref="C98" location="'6,12'!A1" display="Rotura pavimento rígido E= 0,15 m."/>
    <hyperlink ref="C99" location="'6,13'!A1" display="Rotura pavimento rígido E= 0,10 m."/>
    <hyperlink ref="C100" location="'6,14'!A1" display="Rotura pavimento flexible E= 0,10 m."/>
    <hyperlink ref="C101" location="'6,15'!A1" display="Rotura pavimento flexible (incluye cargue a mano y retiro de sobrantes)"/>
    <hyperlink ref="C102" location="'6,16'!A1" display="Rotura pavimento rígido (incluye cargue a mano y retiro de sobrantes)"/>
    <hyperlink ref="C103" location="'6,17'!A1" display="Explanacion y Cajeo"/>
    <hyperlink ref="C104" location="'6,18'!A1" display="Nivelacion y Compactacion de la Subrasante"/>
    <hyperlink ref="C106" location="'6,20'!A1" display="Corte de Pavimento Rigido con Cortadora"/>
    <hyperlink ref="C107" location="'6,21'!A1" display="Rotura de Pavimento Flexible"/>
    <hyperlink ref="C108" location="'6,22'!A1" display="Rotura de Pavimento Rigido"/>
    <hyperlink ref="C110" location="'7,1'!A1" display="Muro en ladrillo tolete común e = 12 Cms"/>
    <hyperlink ref="C111" location="'7,2'!A1" display="Acero de refuerzo figurado e instalado A: 60"/>
    <hyperlink ref="C112" location="'7,3'!A1" display="Acero de refuerzo figurado e instalado A: 37"/>
    <hyperlink ref="C116" location="'8,1,1'!A1" display="De Diametro 6&quot;"/>
    <hyperlink ref="C117" location="'8,1,2'!A1" display="De Diametro 8&quot;"/>
    <hyperlink ref="C118" location="'8,1,3'!A1" display="De Diametro 10&quot;"/>
    <hyperlink ref="C119" location="'8,1,4'!A1" display="De Diametro 12&quot;"/>
    <hyperlink ref="C120" location="'8,1,5'!A1" display="De Diametro 14&quot;"/>
    <hyperlink ref="C121" location="'8,1,6'!A1" display="De Diametro 16&quot;"/>
    <hyperlink ref="C122" location="'8,1,7'!A1" display="De Diametro 18&quot;"/>
    <hyperlink ref="C123" location="'8,1,8'!A1" display="De Diametro 20&quot;"/>
    <hyperlink ref="C124" location="'8,1,9'!A1" display="De Diametro 24&quot;"/>
    <hyperlink ref="C126" location="'8,2,1'!A1" display="De Diametro 6&quot;"/>
    <hyperlink ref="C127" location="'8,2,2'!A1" display="De Diametro 8&quot;"/>
    <hyperlink ref="C128" location="'8,2,3'!A1" display="De Diametro 10&quot;"/>
    <hyperlink ref="C129" location="'8,2,4'!A1" display="De Diametro 12&quot;"/>
    <hyperlink ref="C130" location="'8,2,5'!A1" display="De Diametro 14&quot;"/>
    <hyperlink ref="C131" location="'8,2,6'!A1" display="De Diametro 16&quot;"/>
    <hyperlink ref="C132" location="'8,2,7'!A1" display="De Diametro 18&quot;"/>
    <hyperlink ref="C133" location="'8,2,8'!A1" display="De Diametro 20&quot;"/>
    <hyperlink ref="C134" location="'8,2,9'!A1" display="De Diametro 24&quot;"/>
    <hyperlink ref="C137" location="'9,1,1'!A1" display="De Diametro 6&quot;"/>
    <hyperlink ref="C138" location="'9,1,2'!A1" display="De Diametro 8&quot;"/>
    <hyperlink ref="C139" location="'9,1,3'!A1" display="De Diametro 10&quot;"/>
    <hyperlink ref="C140" location="'9,1,4'!A1" display="De Diametro 12&quot;"/>
    <hyperlink ref="C141" location="'9,1,5'!A1" display="De Diametro 14&quot;"/>
    <hyperlink ref="C142" location="'9,1,6'!A1" display="De Diametro 16&quot;"/>
    <hyperlink ref="C143" location="'9,1,7'!A1" display="De Diametro 18&quot;"/>
    <hyperlink ref="C144" location="'9,1,8'!A1" display="De Diametro 20&quot;"/>
    <hyperlink ref="C145" location="'9,1,9'!A1" display="De Diametro 24&quot;"/>
    <hyperlink ref="C148" location="'10,1,1'!A1" display="De Diametro 6&quot;"/>
    <hyperlink ref="C149" location="'10,1,2'!A1" display="De Diametro 8&quot;"/>
    <hyperlink ref="C150" location="'10,1,3'!A1" display="De Diametro 10&quot;"/>
    <hyperlink ref="C151" location="'10,1,4'!A1" display="De Diametro 12&quot;"/>
    <hyperlink ref="C152" location="'10,1,5'!A1" display="De Diametro 14&quot;"/>
    <hyperlink ref="C153" location="'10,1,6'!A1" display="De Diametro 16&quot;"/>
    <hyperlink ref="C154" location="'10,1,7'!A1" display="De Diametro 18&quot;"/>
    <hyperlink ref="C155" location="'10,1,8'!A1" display="De Diametro 20&quot;"/>
    <hyperlink ref="C156" location="'10,1,9'!A1" display="De Diametro 24&quot;"/>
    <hyperlink ref="C159" location="'11,1,1'!A1" display="De Diametro 24&quot;"/>
    <hyperlink ref="C160" location="'11,1,2'!A1" display="De Diametro 27&quot;"/>
    <hyperlink ref="C161" location="'11,1,3'!A1" display="De Diametro 30&quot;"/>
    <hyperlink ref="C162" location="'11,1,4'!A1" display="De Diametro 36&quot;"/>
    <hyperlink ref="C163" location="'11,1,5'!A1" display="De Diametro 40&quot;"/>
    <hyperlink ref="C164" location="'11,1,6'!A1" display="De Diametro 44&quot;"/>
    <hyperlink ref="C165" location="'11,1,7'!A1" display="De Diametro 48&quot;"/>
    <hyperlink ref="C167" location="'11,2,1'!A1" display="De Diametro 24&quot;"/>
    <hyperlink ref="C168" location="'11,2,2'!A1" display="De Diametro 27&quot;"/>
    <hyperlink ref="C169" location="'11,2,3'!A1" display="De Diametro 30&quot;"/>
    <hyperlink ref="C170" location="'11,2,4'!A1" display="De Diametro 36&quot;"/>
    <hyperlink ref="C171" location="'11,2,5'!A1" display="De Diametro 40&quot;"/>
    <hyperlink ref="C172" location="'11,2,6'!A1" display="De Diametro 44&quot;"/>
    <hyperlink ref="C173" location="'11,2,7'!A1" display="De Diametro 48&quot;"/>
    <hyperlink ref="C176" location="'12,1,1'!A1" display="De Diametro 24&quot;"/>
    <hyperlink ref="C177" location="'12,1,2'!A1" display="De Diametro 27&quot;"/>
    <hyperlink ref="C178" location="'12,1,3'!A1" display="De Diametro 30&quot;"/>
    <hyperlink ref="C179" location="'12,1,4'!A1" display="De Diametro 36&quot;"/>
    <hyperlink ref="C180" location="'12,1,5'!A1" display="De Diametro 40&quot;"/>
    <hyperlink ref="C181" location="'12,1,6'!A1" display="De Diametro 44&quot;"/>
    <hyperlink ref="C182" location="'12,1,7'!A1" display="De Diametro 48&quot;"/>
    <hyperlink ref="C184" location="'12,2,1'!A1" display="De Diametro 24&quot;"/>
    <hyperlink ref="C185" location="'12,2,2'!A1" display="De Diametro 27&quot;"/>
    <hyperlink ref="C186" location="'12,2,3'!A1" display="De Diametro 30&quot;"/>
    <hyperlink ref="C187" location="'12,2,4'!A1" display="De Diametro 36&quot;"/>
    <hyperlink ref="C188" location="'12,2,5'!A1" display="De Diametro 40&quot;"/>
    <hyperlink ref="C189" location="'12,2,6'!A1" display="De Diametro 44&quot;"/>
    <hyperlink ref="C190" location="'12,2,7'!A1" display="De Diametro 48&quot;"/>
    <hyperlink ref="C193" location="'13,1,1'!A1" display="De Diametro 6&quot;   o 200 mm"/>
    <hyperlink ref="C194" location="'13,1,2'!A1" display="De Diametro 8&quot;   "/>
    <hyperlink ref="C195" location="'13,1,3'!A1" display="De Diametro 10&quot; o 250 mm"/>
    <hyperlink ref="C196" location="'13,1,4'!A1" display="De Diametro 12&quot; o 315 mm"/>
    <hyperlink ref="C198" location="'13,1,6'!A1" display="De Diametro 16&quot; "/>
    <hyperlink ref="C199" location="'13,1,7'!A1" display="De Diametro 18&quot; "/>
    <hyperlink ref="C200" location="'13,1,8'!A1" display="De Diametro 20&quot; "/>
    <hyperlink ref="C201" location="'13,1,9'!A1" display="De Diametro 24&quot;"/>
    <hyperlink ref="C202" location="'13,1,10'!A1" display="De Diametro 27&quot;"/>
    <hyperlink ref="C203" location="'13,1,11'!A1" display="De Diametro 30&quot;"/>
    <hyperlink ref="C204" location="'13,1,12'!A1" display="De Diametro 33&quot;"/>
    <hyperlink ref="C205" location="'13,1,13'!A1" display="De Diametro 36&quot;"/>
    <hyperlink ref="C208" location="'14,1,1'!A1" display="De Diametro 8&quot;   o 200 mm"/>
    <hyperlink ref="C209" location="'14,1,2'!A1" display="De Diametro 10&quot; o 250 mm"/>
    <hyperlink ref="C210" location="'14,1,3'!A1" display="De Diametro 12&quot; o 315 mm"/>
    <hyperlink ref="C212" location="'14,1,5'!A1" display="De Diametro 16&quot; "/>
    <hyperlink ref="C213" location="'14,1,6'!A1" display="De Diametro 18&quot; "/>
    <hyperlink ref="C214" location="'14,1,7'!A1" display="De Diametro 20&quot; "/>
    <hyperlink ref="C215" location="'14,1,8'!A1" display="De Diametro 24&quot;"/>
    <hyperlink ref="C216" location="'14,1,9'!A1" display="De Diametro 27&quot;"/>
    <hyperlink ref="C217" location="'14,1,10'!A1" display="De Diametro 30&quot;"/>
    <hyperlink ref="C218" location="'14,1,11'!A1" display="De Diametro 33&quot;"/>
    <hyperlink ref="C219" location="'14,1,12'!A1" display="De Diametro 36&quot;"/>
    <hyperlink ref="C222" location="'15,1,1'!A1" display="De Diametro 6&quot;   o 160 mm"/>
    <hyperlink ref="C223" location="'15,1,2'!A1" display="De Diametro 8&quot;   o 200 mm"/>
    <hyperlink ref="C224" location="'15,1,3'!A1" display="De Diametro 10&quot; o 250 mm"/>
    <hyperlink ref="C225" location="'15,1,4'!A1" display="De Diametro 12&quot; o 315 mm"/>
    <hyperlink ref="C227" location="'15,1,6'!A1" display="De Diametro 16&quot; "/>
    <hyperlink ref="C228" location="'15,1,7'!A1" display="De Diametro 18&quot; "/>
    <hyperlink ref="C229" location="'15,1,8'!A1" display="De Diametro 20&quot; "/>
    <hyperlink ref="C232" location="'16,1,1'!A1" display="De Diametro 8&quot;   o 200 mm"/>
    <hyperlink ref="C233" location="'16,1,2'!A1" display="De Diametro 10&quot; o 250 mm"/>
    <hyperlink ref="C234" location="'16,1,3'!A1" display="De Diametro 12&quot; o 315 mm"/>
    <hyperlink ref="C236" location="'16,1,5'!A1" display="De Diametro 16&quot; "/>
    <hyperlink ref="C237" location="'16,1,6'!A1" display="De Diametro 18&quot; "/>
    <hyperlink ref="C238" location="'16,1,7'!A1" display="De Diametro 20&quot; "/>
    <hyperlink ref="C241" location="'17,1,1'!A1" display="De Diametro 24&quot;"/>
    <hyperlink ref="C242" location="'17,1,2'!A1" display="De Diametro 27&quot;"/>
    <hyperlink ref="C243" location="'17,1,3'!A1" display="De Diametro 30&quot;"/>
    <hyperlink ref="C244" location="'17,1,4'!A1" display="De Diametro 33&quot;"/>
    <hyperlink ref="C245" location="'17,1,5'!A1" display="De Diametro 36&quot;"/>
    <hyperlink ref="C247" location="'17,1,7'!A1" display="De Diametro 42&quot;"/>
    <hyperlink ref="C250" location="'18,1,1'!A1" display="De Diametro 24&quot;"/>
    <hyperlink ref="C251" location="'18,1,2'!A1" display="De Diametro 27&quot;"/>
    <hyperlink ref="C252" location="'18,1,3'!A1" display="De Diametro 30&quot;"/>
    <hyperlink ref="C253" location="'18,1,4'!A1" display="De Diametro 33&quot;"/>
    <hyperlink ref="C254" location="'18,1,5'!A1" display="De Diametro 36&quot;"/>
    <hyperlink ref="C255" location="'18,1,6'!A1" display="De Diametro 39&quot;"/>
    <hyperlink ref="C256" location="'18,1,7'!A1" display="De Diametro 42&quot;"/>
    <hyperlink ref="C259" location="'19,1,1'!A1" display="Base y cañuela en concreto de 3.000 PSI e = 0,30 Mts"/>
    <hyperlink ref="C260" location="'19,1,2'!A1" display="Pañete interior "/>
    <hyperlink ref="C261" location="'19,1,3'!A1" display="Cilindro en ladrillo e = 0,30 Mts"/>
    <hyperlink ref="C262" location="'19,1,4'!A1" display="Cono de reducción H = 0,65 Mts"/>
    <hyperlink ref="C263" location="'19,1,5'!A1" display="Pasos en hierro de 3/4&quot; con anticorrosivo  C/40 cm"/>
    <hyperlink ref="C264" location="'19,1,6'!A1" display="Suministro e instalación aro - tapa tráfico pesado"/>
    <hyperlink ref="C265" location="'19,1,7'!A1" display="Suministro e Instalacion de Tapas en Fribroconcreto"/>
    <hyperlink ref="C266" location="'19,1,8'!A1" display="Caja de inspección 60 x 60 x 100 Cmts"/>
    <hyperlink ref="C267" location="'19,1,9'!A1" display="Caja de inspección 80 x 60 x 100 Cmts"/>
    <hyperlink ref="C268" location="'19,1,10'!A1" display="Sumidero en concreto 3.000 PSI tipo SL 100"/>
    <hyperlink ref="C269" location="'19,1,11'!A1" display="Sumidero en fibro-concreto"/>
    <hyperlink ref="C270" location="'19,1,12'!A1" display="Cámara de caida Diametro 8&quot;,revestida en concreto,malla con vena"/>
    <hyperlink ref="C271" location="'19,1,13'!A1" display="Cámara de caida Diametro 12&quot;revestida en concreto,malla con vena"/>
    <hyperlink ref="C272" location="'19,1,14'!A1" display="Cilindro en concreto de 3000 psi  e= 0,20 M"/>
    <hyperlink ref="C273" location="'19,1,15'!A1" display="Cuneta sección L en concreto simple 3.000 PSI incluye base en recebo compactado e = 0,10 Mts"/>
    <hyperlink ref="C275" location="'19,2,1'!A1" display="Base y cañuela en concreto de 3.000 PSI e = 0,30 Mts"/>
    <hyperlink ref="C276" location="'19,2,2'!A1" display="Pañete interior "/>
    <hyperlink ref="C277" location="'19,2,3'!A1" display="Cilindro en ladrillo e = 0,30 Mts"/>
    <hyperlink ref="C278" location="'19,2,4'!A1" display="Cono de reducción H = 0,90 Mts"/>
    <hyperlink ref="C280" location="'20,1'!A1" display="Señalizacion en Guadua C/3 mts y Polisombra de h=2mts"/>
    <hyperlink ref="C283" location="'20,4'!A1" display="SUMINISTRO E INSTALACION LECHO EN ARENA PARA TUBERIA"/>
    <hyperlink ref="C284" location="'20,5'!A1" display="SUMINISTRO E INSTALACION LECHO EN GRAVILLA PARA CAMA TUBERIA D= 1/2 a 3/4"/>
    <hyperlink ref="C285" location="'20,6'!A1" display="SUMINISTRO E INSTALACION DE SILLA YEE 8X 6&quot;  PVCINCLUYE AGARRADERAS CAUCHO Y ADERENCIA"/>
    <hyperlink ref="C286" location="'20,7'!A1" display="SUMINISTRO E INSTALACION DE SILLA YEE 10X 6&quot;  PVCINCLUYE AGARRADERAS CAUCHO Y ADERENCIA"/>
    <hyperlink ref="C287" location="'20,8'!A1" display="SUMINISTRO E INSTALACION DE SILLA YEE 12X 6&quot;  PVCINCLUYE AGARRADERAS CAUCHO Y ADERENCIA"/>
    <hyperlink ref="C288" location="'20,9'!A1" display="SUMINISTRO E INSTALACION DE SILLA YEE 14X 6&quot;  PVCINCLUYE AGARRADERAS CAUCHO Y ADERENCIA"/>
    <hyperlink ref="C289" location="'20,10'!A1" display="SUMINISTRO E INSTALACION DE SILLA YEE 16X 6&quot;  PVCINCLUYE AGARRADERAS CAUCHO Y ADERENCIA"/>
    <hyperlink ref="C290" location="'20,11'!A1" display="SUMINISTRO E INSTALACION DE SILLA YEE 18X 6&quot;  PVCINCLUYE AGARRADERAS CAUCHO Y ADERENCIA"/>
    <hyperlink ref="C291" location="'20,12'!A1" display="SUMINISTRO E INSTALACION DE SILLA YEE 20X 6&quot;  PVCINCLUYE AGARRADERAS CAUCHO Y ADERENCIA"/>
    <hyperlink ref="C292" location="'20,13'!A1" display="SUMINISTRO E INSTALACION DE SILLA YEE 24X 6&quot;  PVCINCLUYE AGARRADERAS CAUCHO Y ADERENCIA"/>
    <hyperlink ref="C293" location="'20,14'!A1" display="SUMINISTRO E INSTALACIÓN YEES EN CONCRETO DE 8X 6&quot;"/>
    <hyperlink ref="C294" location="'20,15'!A1" display="SUMINISTRO E INSTALACIÓN YEES EN CONCRETO DE 10X 6&quot; "/>
    <hyperlink ref="C295" location="'20,16'!A1" display="SUMINISTRO E INSTALACION YEES EN CONCRETO DE 12X 6&quot; "/>
    <hyperlink ref="C296" location="'20,17'!A1" display="SUMINISTRO E INSTALACIÓN YEES EN CONCRETO DE 14X 6&quot;"/>
    <hyperlink ref="C297" location="'20,18'!A1" display="SUMINISTRO E INSTALACIÓN YEES EN CONCRETO DE 16X 6&quot; "/>
    <hyperlink ref="C298" location="'20,19'!A1" display="SUMINISTRO E INSTALACIÓN YEES EN CONCRETO DE 18X 6&quot; "/>
    <hyperlink ref="C299" location="'20,20'!A1" display="SUMINISTRO E INSTALACIÓN YEES EN CONCRETO DE 20X 6&quot; "/>
    <hyperlink ref="C300" location="'20,21'!A1" display="SUMINISTRO E INSTALACIÓN YEES EN CONCRETO DE 24X 6&quot; "/>
    <hyperlink ref="C301" location="'20,22'!A1" display="SUMINISTRO E INSTALACIÓN CODOS EN CONCRETO DE 8 &quot;"/>
    <hyperlink ref="C302" location="'20,23'!A1" display="SUMINISTRO E INSTALACIÓN CODOS EN CONCRETO DE 10 &quot;"/>
    <hyperlink ref="C303" location="'20,24'!A1" display="SUMINISTRO E INSTALACIÓN CODOS EN CONCRETO DE 12 &quot;"/>
    <hyperlink ref="C304" location="'20,25'!A1" display="SUMINISTRO E INSTALACIÓN CODOS EN CONCRETO DE 14 &quot;"/>
    <hyperlink ref="C305" location="'20,26'!A1" display="MANTENIMIENTO  FORESTAL"/>
    <hyperlink ref="C306" location="'20,27'!A1" display="DESMONTE Y LIMPIEZA"/>
    <hyperlink ref="C307" location="'20,28'!A1" display="REFORESTACION"/>
    <hyperlink ref="C308" location="'20,29'!A1" display="CERCAS VIVAS"/>
    <hyperlink ref="C309" location="'20,30'!A1" display="ARBORIZACION"/>
    <hyperlink ref="C317" location="'20,38'!A1" display="Trinchos en guadua"/>
    <hyperlink ref="C318" location="'20,39'!A1" display="Trinchos en esterilla"/>
    <hyperlink ref="C319" location="'20,40'!A1" display="Gaviones, triple torsion,cal 12, suministro e instalacion "/>
    <hyperlink ref="C320" location="'20,41'!A1" display="Limpieza de colectores"/>
    <hyperlink ref="C321" location="'20,42'!A1" display="Utilizacion de Motobomba "/>
    <hyperlink ref="C322" location="'20,43'!A1" display="Manejo de Aguas Con Diametros de 8&quot; a 12&quot;"/>
    <hyperlink ref="C323" location="'20,44'!A1" display="Manejo de Aguas Con Diametros de 12&quot; a 24&quot;"/>
    <hyperlink ref="C324" location="'20,45'!A1" display="Manejo de Aguas Con Diametros de 24&quot; a 30&quot;"/>
    <hyperlink ref="C325" location="'20,46'!A1" display="Manejo de Aguas mas de 30&quot;"/>
    <hyperlink ref="C335" location="'21,1'!A1" display="Instalacion Registro de Corte o Incorporacion en PVC  1/2&quot; - 3/4&quot;"/>
    <hyperlink ref="C336" location="'21,2'!A1" display="Instalacion de Union PF 1/2&quot; - 3/4&quot;"/>
    <hyperlink ref="C337" location="'21,3'!A1" display="Instalacion de Galapago o Collarin de 3&quot; - 4&quot; X ( 1/2&quot; - 3/4&quot; )"/>
    <hyperlink ref="C338" location="'21,4'!A1" display="Instalacion de Accesorios de 3&quot; Y 4&quot;"/>
    <hyperlink ref="C339" location="'21,5'!A1" display="Instalacion de Accesorios de 6&quot; Y 8&quot;"/>
    <hyperlink ref="C340" location="'21,6'!A1" display="Instalacion de Accesorios entre 10&quot; Y 18&quot;"/>
    <hyperlink ref="C343" location="'22,2'!A1" display="Suministro e Instalación de registro de incorporación 3/4&quot; Bronce"/>
    <hyperlink ref="C344" location="'22,3'!A1" display="Suministro e Instalación de unión P.F 1/2&quot; "/>
    <hyperlink ref="C345" location="'22,4'!A1" display="Suministro e Instalación de unión P.F  3/4&quot;"/>
    <hyperlink ref="C346" location="'22,5'!A1" display="Suministro e Instalacion Llave de Paso 1/2&quot; tipo RW Bronce"/>
    <hyperlink ref="C347" location="'22,6'!A1" display="Suministro e Instalacion Llave de Paso 3/4&quot; tipo RW Bronce"/>
    <hyperlink ref="C348" location="'22,7'!A1" display="Suministro e Instalacion Llave de Paso 1&quot; tipo RW Bronce"/>
    <hyperlink ref="C349" location="'22,8'!A1" display="Suministro e Instalacion Llave de Paso 2&quot; tipo RW Bromce"/>
    <hyperlink ref="C350" location="'22,9'!A1" display="Suministro e Instalacion Llave de Paso 3&quot; tipo RW Bronce"/>
    <hyperlink ref="C351" location="'22,10'!A1" display="Suministro e Instalacion Llave de Paso 4&quot; tipo RW Bronce"/>
    <hyperlink ref="C358" location="'22,17'!A1" display="Suministro e Instalación Tubería Acometida Domiciliaria pf+uad Polietileno 1/2&quot;"/>
    <hyperlink ref="C359" location="'22,18'!A1" display="Suministro e Instalación Tubería Acometida Domiciliaria pf+uad Polietileno 3/4&quot;"/>
    <hyperlink ref="C367" location="'22,26'!A1" display="Suministro e Instalacion de Collar de Derivacion en Hierro Ductil 3&quot; X 1/2&quot;"/>
    <hyperlink ref="C368" location="'22,27'!A1" display="Suministro e Instalacion de Collar de Derivacion en Hierro Ductil 3&quot; X 3/4&quot;"/>
    <hyperlink ref="C370" location="'22,29'!A1" display="Suministro e Instalacion de Collar de Derivacion en Hierro Ductil 4&quot; X 1/2&quot;"/>
    <hyperlink ref="C371" location="'22,30'!A1" display="Suministro e Instalacion de Collar de Derivacion en Hierro Ductil 4&quot; X 3/4&quot;"/>
    <hyperlink ref="C372" location="'22,31'!A1" display="Suministro e Instalacion de Collar de Derivacion en Hierro Ductil 4&quot; X 1&quot;"/>
    <hyperlink ref="C373" location="'22,32'!A1" display="Suministro e Instalacion de Collar de Derivacion en Hierro Ductil 6&quot; X 1/2&quot;"/>
    <hyperlink ref="C374" location="'22,33'!A1" display="Suministro e Instalacion de Collar de Derivacion en Hierro Ductil 6&quot; X 3/4&quot;"/>
    <hyperlink ref="C375" location="'22,34'!A1" display="Suministro e Instalacion de Collar de Derivacion en Hierro Ductil 6&quot; X 1&quot;"/>
    <hyperlink ref="C376" location="'22,35'!A1" display="Suministro e Instalacion Valvulas de Compuerta Sello de Bronce Vastago no Ascendente Extremo Liso PVC de 2&quot; "/>
    <hyperlink ref="C377" location="'22,36'!A1" display="Suministro e Instalacion Valvulas de Compuerta Sello de Bronce Vastago no Ascendente Extremo Liso PVC de 3&quot; "/>
    <hyperlink ref="C378" location="'22,37'!A1" display="Suministro e Instalacion Valvulas de Compuerta Sellos de Bronce Vastago no Ascendente Extremo Lios PVC de 4&quot; "/>
    <hyperlink ref="C379" location="'22,38'!A1" display="Suministro e Instalacion Valvulas de Compuerta Sello de Bronce Vastago no Ascendente Extremo Liso PVC de 6&quot; "/>
    <hyperlink ref="C380" location="'22,39'!A1" display="Suministro e Instalacion Valvulas de Compuerta Sello de Bronce Vastago no Ascendente Extremo Liso PVC de 8&quot; "/>
    <hyperlink ref="C387" location="'22,46'!A1" display="Suministro e Instalacion Valvula Ventosa de 1&quot; Roscada Triple Accion"/>
    <hyperlink ref="C388" location="'22,47'!A1" display="Suministro e Instalacion Valvula Ventosa de 2&quot; Roscada Triple Accion "/>
    <hyperlink ref="C389" location="'22,48'!A1" display="Suministro e Instalacion Valvula Ventosa de 3&quot; Bridada Triple Accion "/>
    <hyperlink ref="C390" location="'22,49'!A1" display="Suministro e Instalacion Valvula Ventosa de 4&quot; Bridada Triple Accion"/>
    <hyperlink ref="C391" location="'22,50'!A1" display="Suministro e Instalacion Valvula Ventosa de 6&quot; Bridada Triple Accion"/>
    <hyperlink ref="C392" location="'22,51'!A1" display="Suministro e Instalacion Valvula Ventosa de 8&quot; Bridada Triple Accion"/>
    <hyperlink ref="C395" location="'23,1,1'!A1" display="De Diametro 2&quot;"/>
    <hyperlink ref="C396" location="'23,1,2'!A1" display="De Diametro 3&quot;"/>
    <hyperlink ref="C397" location="'23,1,3'!A1" display="De Diametro 4&quot;"/>
    <hyperlink ref="C398" location="'23,1,4'!A1" display="De Diametro 6&quot;"/>
    <hyperlink ref="C399" location="'23,1,5'!A1" display="De Diametro 8&quot; "/>
    <hyperlink ref="C400" location="'23,1,6'!A1" display="De Diametro 10&quot;"/>
    <hyperlink ref="C401" location="'23,1,7'!A1" display="De Diametro 12&quot;"/>
    <hyperlink ref="C402" location="'23,1,8'!A1" display="De Diametro 14&quot;"/>
    <hyperlink ref="C403" location="'23,1,9'!A1" display="De Diametro 16&quot;"/>
    <hyperlink ref="C404" location="'23,1,10'!A1" display="De Diametro 18&quot;"/>
    <hyperlink ref="C405" location="'23,1,11'!A1" display="De Diametro 20&quot;"/>
    <hyperlink ref="C408" location="'24,1,1'!A1" display="De Diametro 2&quot;"/>
    <hyperlink ref="C409" location="'24,1,2'!A1" display="De Diametro 3&quot;"/>
    <hyperlink ref="C410" location="'24,1,3'!A1" display="De Diametro 4&quot;"/>
    <hyperlink ref="C411" location="'24,1,4'!A1" display="De Diametro 6&quot;"/>
    <hyperlink ref="C412" location="'24,1,5'!A1" display="De Diametro 8&quot; "/>
    <hyperlink ref="C413" location="'24,1,6'!A1" display="De Diametro 10&quot;"/>
    <hyperlink ref="C414" location="'24,1,7'!A1" display="De Diametro 12&quot;"/>
    <hyperlink ref="C415" location="'24,1,8'!A1" display="De Diametro 14&quot;"/>
    <hyperlink ref="C416" location="'24,1,9'!A1" display="De Diametro 16&quot;"/>
    <hyperlink ref="C417" location="'24,1,10'!A1" display="De Diametro 18&quot;"/>
    <hyperlink ref="C418" location="'24,1,11'!A1" display="De Diametro 20&quot;"/>
    <hyperlink ref="C89" location="'6,3'!A1" display="Extendida y compactación  sub base/ base granular ( medio mecánico)"/>
    <hyperlink ref="C105" location="'6,19'!A1" display="Corte de Pavimento Flexible con Cortadora"/>
    <hyperlink ref="C246" location="'17,1,6'!A1" display="De Diametro 39&quot;"/>
    <hyperlink ref="C369" location="'22,28'!A1" display="Suministro e Instalacion de Collar de Derivacion en Hierro Ductil 3&quot; X 1&quot;"/>
    <hyperlink ref="C342" location="'22,1'!A1" display="Suministro e Instalacion de registro de incorporacion 1/2&quot; Bronce"/>
    <hyperlink ref="C70" location="'5,1'!A1" display="Concreto de 13,8 Mpa (2.000 PSI) "/>
    <hyperlink ref="C71" location="'5,2'!A1" display="Concreto de 17,2 Mpa (2.500 PSI) "/>
    <hyperlink ref="C72" location="'5,3'!A1" display="Concreto cilópeo cimentación  (2.500 PSI - 17,2 Mpa) "/>
    <hyperlink ref="C73" location="'5,4'!A1" display="Concreto ciclópeo elevación (2.500 PSI - 17,2 Mpa) "/>
    <hyperlink ref="C74" location="'5,5'!A1" display="Concreto de 20,7 Mpa (3.000 PSI) "/>
    <hyperlink ref="C75" location="'5,6'!A1" display="Concreto de 20,7 Mpa (3.000 PSI) elevacion"/>
    <hyperlink ref="C76" location="'5,7'!A1" display="Instalación y suministro de concreto 3.000 PSI  - Superestructura e= 0,25"/>
    <hyperlink ref="C77" location="'5,8'!A1" display="Instalación y suministro de concreto 3.000 PSI  - Impermeabilizado"/>
    <hyperlink ref="C78" location="'5,9'!A1" display="Concreto de 24,5 Mpa (3.500 PSI) "/>
    <hyperlink ref="C79" location="'5,10'!A1" display="Concreto de 24,5 Mpa (3.500 PSI) Estructruras "/>
    <hyperlink ref="C80" location="'5,11'!A1" display="Concreto de 27,6 Mpa (4.000 PSI) "/>
    <hyperlink ref="C81" location="'5,12'!A1" display="Concreto de 27,6 Mpa (4.000 PSI) Estructura"/>
    <hyperlink ref="C82" location="'5,13'!A1" display="Anden en concreto e=0,10 ( incluye alistado y nivelación)"/>
    <hyperlink ref="C83" location="'5,14'!A1" display="Sardinel 0,15*0,20*0,40 en concreto simple 2500 p.s.i."/>
    <hyperlink ref="C84" location="'5,15'!A1" display="Mortro 1:3"/>
    <hyperlink ref="C85" location="'5,16'!A1" display="Mortero 1:4"/>
    <hyperlink ref="C18" location="'1,9'!A1" display="Cargue y Retiro de sobrantes hasta 24 Kms a Maquina"/>
    <hyperlink ref="C10" location="'1,1'!A1" display="Localización y replanteo Topografico"/>
    <hyperlink ref="C11" location="'1,2'!A1" display="Transporte de Sobrantes"/>
    <hyperlink ref="C12" location="'1,3'!A1" display="Cargue de Sobrantes a Mano"/>
    <hyperlink ref="C15" location="'1,6'!A1" display="Cargue y Retiro de Sobrantes Hasta 8 KMTS A Mano"/>
    <hyperlink ref="C16" location="'1,7'!A1" display="Cargue y Retiro de sobrantes hasta 8 Kms a Maquina"/>
    <hyperlink ref="C17" location="'1,8'!A1" display="Cargue y Retiro de sobrantes hasta 16 Kms a Maquina"/>
    <hyperlink ref="C19" location="'1,10'!A1" display="Rellenos de excavación con material seleccionado"/>
    <hyperlink ref="C20" location="'1,11'!A1" display="Suministro de Recebo en zanja compactado c/ 15 Cms. Medio mecánico"/>
    <hyperlink ref="C21" location="'1,12'!A1" display="Acarreo interno en obra 50 mts"/>
    <hyperlink ref="C22" location="'1,13'!A1" display="Suministro e Instalacion de Material Filtrante Relleno (Pedraplen)"/>
    <hyperlink ref="C13" location="'1,4'!A1" display="Cargue de Sobrantes a Maquina"/>
    <hyperlink ref="C14" location="'1,5'!A1" display="Disposicion Final de Sobrantes en Escombrera Autorizada"/>
    <hyperlink ref="C211" location="'14,1,4'!A1" display="De Diametro 14&quot; "/>
    <hyperlink ref="C197" location="'13,1,5'!A1" display="De Diametro 14&quot; "/>
    <hyperlink ref="C235" location="'16,1,4'!A1" display="De Diametro 14&quot; "/>
    <hyperlink ref="C226" location="'15,1,5'!A1" display="De Diametro 14&quot; "/>
    <hyperlink ref="C326" location="'20,47'!A1" display="Entibado Tipo 1 (Apuntalamiento)"/>
    <hyperlink ref="C329" location="'20,50'!A1" display="Entibado Tipo 3 (Metalico) Con Tableros"/>
    <hyperlink ref="C327" location="'20,48'!A1" display="Entibado Tipo 1A (Discontinuo en Madera)"/>
    <hyperlink ref="C328" location="'20,49'!A1" display="Entibado Tipo 2 (Continuo en Madera)"/>
    <hyperlink ref="C26" location="'2,3'!A1" display="Demolición manual de concreto"/>
    <hyperlink ref="C360" location="'22,19'!A1" display="Suministro e Instalacion de Collar de Derivacion en PVC de 3&quot; X 1/2&quot;"/>
    <hyperlink ref="C361" location="'22,20'!A1" display="Suministro e Instalacion de Collar de Derivacion en PVC de 3&quot; X 3/4&quot;"/>
    <hyperlink ref="C362" location="'22,21'!A1" display="Suministro e Instalacion de Collar de Derivacion en PVC de 4&quot; X 1/2&quot;"/>
    <hyperlink ref="C363" location="'22,22'!A1" display="Suministro e Instalacion de Collar de Derivacion en PVC de 4&quot; X 3/4&quot;"/>
    <hyperlink ref="C364" location="'22,23'!A1" display="Suministro e Instalacion de Collar de Derivacion en PVC de 6&quot; X 1/2&quot;"/>
    <hyperlink ref="C365" location="'22,24'!A1" display="Suministro e Instalacion de Collar de Derivacion en PVC de 6&quot; X 3/4&quot;"/>
    <hyperlink ref="C366" location="'22,25'!A1" display="Suministro e Instalacion de Collar de Derivacion en PVC de 8&quot; X 1&quot;"/>
    <hyperlink ref="C310" location="'20,31'!A1" display="Mantenimiento de Guadua (20% Reposicion)"/>
    <hyperlink ref="C311" location="'20,32'!A1" display="Enriquecimiento Forestal"/>
    <hyperlink ref="C313" location="'20,34'!A1" display="Establecimiento Arbol Aislado (Incluye Chiquero)"/>
    <hyperlink ref="C312" location="'20,33'!A1" display="Mantenimiento Enriquecimiento Forestal (20% Repos)"/>
    <hyperlink ref="C314" location="'20,35'!A1" display="Mantenimiento Árbol Aislado"/>
    <hyperlink ref="C315" location="'20,36'!A1" display="Aislamiento con cercos de madera, a tres hilos alambre de púa calibre 12.5"/>
    <hyperlink ref="C316" location="'20,37'!A1" display="Empradizacion con Cespedon"/>
    <hyperlink ref="C281" location="'20,2'!A1" display="Malla reflectiva color naranja h=1.0m"/>
    <hyperlink ref="C282" location="'20,3'!A1" display="Cono vial tipo invias"/>
    <hyperlink ref="C352" location="'22,11'!A1" display="Suministro e Instalacion Llave de Paso PVC 1/2&quot; de Bola"/>
    <hyperlink ref="C353" location="'22,12'!A1" display="Suministro e Instalacion Llave de Paso PVC 3/4&quot; de Bola"/>
    <hyperlink ref="C354" location="'22,13'!A1" display="Suministro e Instalacion Llave de Paso PVC 1&quot; de Bola"/>
    <hyperlink ref="C355" location="'22,14'!A1" display="Suministro e Instalacion Llave de Paso PVC 2&quot; de Bola"/>
    <hyperlink ref="C356" location="'22,15'!A1" display="Suministro e Instalacion Llave de Paso PVC 3&quot; de Bola"/>
    <hyperlink ref="C357" location="'22,16'!A1" display="Suministro e Instalacion Llave de Paso PVC 4&quot; de Bola"/>
    <hyperlink ref="C381" location="'22,40'!A1" display="Suministro e Instalacion Valvulas de Compuerta Sello de Bronce Vastago no Ascendente Extremo Liso PVC de 10&quot; "/>
    <hyperlink ref="C382" location="'22,41'!A1" display="Suministro e Instalacion Valvulas de Compuerta Sello de Bronce Vastago no Ascendente Extremo Liso PVC de 12&quot; "/>
    <hyperlink ref="C383" location="'22,42'!A1" display="Suministro e Instalacion Valvulas de Compuerta Sello de Bronce Vastago no Ascendente Extremo Liso PVC de 14&quot; "/>
    <hyperlink ref="C384" location="'22,43'!A1" display="Suministro e Instalacion Valvulas de Compuerta Sello de Bronce Vastago no Ascendente Extremo Liso PVC de 16&quot; "/>
    <hyperlink ref="C385" location="'22,44'!A1" display="Suministro e Instalacion Valvulas de Compuerta Sello de Bronce Vastago no Ascendente Extremo Liso PVC de 18&quot; "/>
    <hyperlink ref="C386" location="'22,45'!A1" display="Suministro e Instalacion Valvulas de Compuerta Sello de Bronce Vastago no Ascendente Extremo Liso PVC de 20&quot; "/>
    <hyperlink ref="C330" location="'20,51'!A1" display="Cerramiento en malla de polietileno naranja con señalizador tubular de 1.30m. Con 3 cintas"/>
    <hyperlink ref="C331" location="'20,52'!A1" display="Señales provisionales de obra en tripode"/>
    <hyperlink ref="C332" location="'20,53'!A1" display="Suministro de maletines para cerramiento (2.00m. X 1.00 x 0.50) con cinta reflectiva grado ingenieria incluye tapa de llenado y tapon de drenaje. 30KG"/>
    <hyperlink ref="C333" location="'20,54'!A1" display="Suministro de valla informativa según diseño IBAL"/>
  </hyperlinks>
  <pageMargins left="1.1399999999999999" right="0.31496062992125984" top="0.98425196850393704" bottom="0.59055118110236227" header="0.31496062992125984" footer="0"/>
  <pageSetup paperSize="9" scale="59" fitToWidth="0" fitToHeight="0" orientation="portrait" r:id="rId1"/>
  <headerFooter alignWithMargins="0"/>
  <rowBreaks count="6" manualBreakCount="6">
    <brk id="68" min="1" max="4" man="1"/>
    <brk id="124" min="1" max="4" man="1"/>
    <brk id="193" min="1" max="4" man="1"/>
    <brk id="256" min="1" max="4" man="1"/>
    <brk id="319" min="1" max="4" man="1"/>
    <brk id="383" min="1" max="4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0"/>
  <sheetViews>
    <sheetView workbookViewId="0"/>
  </sheetViews>
  <sheetFormatPr baseColWidth="10" defaultRowHeight="14.4"/>
  <cols>
    <col min="1" max="1" width="11.5546875" customWidth="1"/>
    <col min="2" max="2" width="10.44140625" customWidth="1"/>
    <col min="3" max="3" width="15.88671875" bestFit="1" customWidth="1"/>
  </cols>
  <sheetData>
    <row r="1" spans="1:8">
      <c r="A1" s="2"/>
      <c r="B1" s="2"/>
      <c r="C1" s="2"/>
      <c r="D1" s="2"/>
      <c r="E1" s="2"/>
      <c r="F1" s="2"/>
      <c r="G1" s="2"/>
      <c r="H1" s="2"/>
    </row>
    <row r="2" spans="1:8" ht="15" thickBot="1">
      <c r="A2" s="2"/>
      <c r="B2" s="2"/>
      <c r="C2" s="2"/>
      <c r="D2" s="2"/>
      <c r="E2" s="2"/>
      <c r="F2" s="2"/>
      <c r="G2" s="2"/>
      <c r="H2" s="2"/>
    </row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333</v>
      </c>
      <c r="H7" s="23"/>
    </row>
    <row r="8" spans="1:8">
      <c r="A8" s="22" t="s">
        <v>1086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568" t="s">
        <v>284</v>
      </c>
      <c r="E11" s="27" t="s">
        <v>285</v>
      </c>
      <c r="F11" s="568" t="s">
        <v>286</v>
      </c>
      <c r="G11" s="567" t="s">
        <v>287</v>
      </c>
      <c r="H11" s="29"/>
    </row>
    <row r="12" spans="1:8">
      <c r="A12" s="1188"/>
      <c r="B12" s="1189"/>
      <c r="C12" s="1190"/>
      <c r="D12" s="30"/>
      <c r="E12" s="31"/>
      <c r="F12" s="605"/>
      <c r="G12" s="33"/>
      <c r="H12" s="34"/>
    </row>
    <row r="13" spans="1:8">
      <c r="A13" s="1191"/>
      <c r="B13" s="1192"/>
      <c r="C13" s="1193"/>
      <c r="D13" s="35"/>
      <c r="E13" s="36"/>
      <c r="F13" s="37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0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85" t="s">
        <v>283</v>
      </c>
      <c r="B20" s="1186"/>
      <c r="C20" s="1187"/>
      <c r="D20" s="568" t="s">
        <v>291</v>
      </c>
      <c r="E20" s="568" t="s">
        <v>292</v>
      </c>
      <c r="F20" s="568" t="s">
        <v>293</v>
      </c>
      <c r="G20" s="567" t="s">
        <v>287</v>
      </c>
      <c r="H20" s="29"/>
    </row>
    <row r="21" spans="1:8" ht="24" customHeight="1">
      <c r="A21" s="1206" t="s">
        <v>265</v>
      </c>
      <c r="B21" s="1207"/>
      <c r="C21" s="1208"/>
      <c r="D21" s="30"/>
      <c r="E21" s="30">
        <f>MATERIALES!E35</f>
        <v>3571.4285714285716</v>
      </c>
      <c r="F21" s="115">
        <v>1</v>
      </c>
      <c r="G21" s="898">
        <f>E21*F21</f>
        <v>3571.4285714285716</v>
      </c>
      <c r="H21" s="34"/>
    </row>
    <row r="22" spans="1:8">
      <c r="A22" s="45"/>
      <c r="B22" s="46"/>
      <c r="C22" s="47"/>
      <c r="D22" s="30"/>
      <c r="E22" s="48"/>
      <c r="F22" s="32"/>
      <c r="G22" s="33"/>
      <c r="H22" s="34"/>
    </row>
    <row r="23" spans="1:8">
      <c r="A23" s="45"/>
      <c r="B23" s="46"/>
      <c r="C23" s="47"/>
      <c r="D23" s="35"/>
      <c r="E23" s="36"/>
      <c r="F23" s="49"/>
      <c r="G23" s="50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3571.4285714285716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568" t="s">
        <v>297</v>
      </c>
      <c r="E27" s="568" t="s">
        <v>298</v>
      </c>
      <c r="F27" s="568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568" t="s">
        <v>302</v>
      </c>
      <c r="D33" s="568" t="s">
        <v>303</v>
      </c>
      <c r="E33" s="85" t="s">
        <v>304</v>
      </c>
      <c r="F33" s="64" t="s">
        <v>286</v>
      </c>
      <c r="G33" s="567" t="s">
        <v>287</v>
      </c>
      <c r="H33" s="29"/>
    </row>
    <row r="34" spans="1:10">
      <c r="A34" s="45"/>
      <c r="B34" s="46"/>
      <c r="C34" s="65"/>
      <c r="D34" s="66"/>
      <c r="E34" s="31"/>
      <c r="F34" s="31"/>
      <c r="G34" s="67"/>
      <c r="H34" s="34"/>
    </row>
    <row r="35" spans="1:10">
      <c r="A35" s="45"/>
      <c r="B35" s="46"/>
      <c r="C35" s="65"/>
      <c r="D35" s="66"/>
      <c r="E35" s="31"/>
      <c r="F35" s="31"/>
      <c r="G35" s="67"/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53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3571.4285714285716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580" t="s">
        <v>308</v>
      </c>
      <c r="G42" s="579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SALARIOS!C43</f>
        <v>0.15</v>
      </c>
      <c r="G43" s="78">
        <f>++F43*H40</f>
        <v>535.71428571428567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SALARIOS!C44</f>
        <v>0.05</v>
      </c>
      <c r="G44" s="78">
        <f>+F44*H40</f>
        <v>178.57142857142858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178.57142857142858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892.85714285714278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4464</v>
      </c>
      <c r="J48" s="148"/>
    </row>
    <row r="49" spans="1:8">
      <c r="A49" s="2"/>
      <c r="B49" s="2"/>
      <c r="C49" s="2"/>
      <c r="D49" s="2"/>
      <c r="E49" s="2"/>
      <c r="F49" s="2"/>
      <c r="G49" s="2"/>
      <c r="H49" s="2"/>
    </row>
    <row r="50" spans="1:8">
      <c r="A50" s="2"/>
      <c r="B50" s="2"/>
      <c r="C50" s="2"/>
      <c r="D50" s="2"/>
      <c r="E50" s="2"/>
      <c r="F50" s="2"/>
      <c r="G50" s="2"/>
      <c r="H50" s="2"/>
    </row>
  </sheetData>
  <mergeCells count="14">
    <mergeCell ref="A13:C13"/>
    <mergeCell ref="A3:C4"/>
    <mergeCell ref="A5:C5"/>
    <mergeCell ref="D5:H5"/>
    <mergeCell ref="A11:C11"/>
    <mergeCell ref="A12:C12"/>
    <mergeCell ref="A33:B33"/>
    <mergeCell ref="A21:C21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H25" sqref="H2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.75" customHeight="1">
      <c r="A7" s="1235" t="s">
        <v>1140</v>
      </c>
      <c r="B7" s="1235"/>
      <c r="C7" s="1235"/>
      <c r="D7" s="1235"/>
      <c r="E7" s="1235"/>
      <c r="F7" s="2"/>
      <c r="G7" s="24" t="s">
        <v>491</v>
      </c>
      <c r="H7" s="23"/>
    </row>
    <row r="8" spans="1:8">
      <c r="A8" s="22" t="s">
        <v>492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8599.887860410603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8599.887860410603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493</v>
      </c>
      <c r="B21" s="46"/>
      <c r="C21" s="47"/>
      <c r="D21" s="100" t="s">
        <v>1</v>
      </c>
      <c r="E21" s="98">
        <f>+MATERIALES!E171</f>
        <v>379804.8</v>
      </c>
      <c r="F21" s="122">
        <v>1</v>
      </c>
      <c r="G21" s="96">
        <f>+E21*F21</f>
        <v>379804.8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379804.8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0.32</v>
      </c>
      <c r="G34" s="67">
        <f>+E34*F34</f>
        <v>56662.023100156839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85998.878604106023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474403.56646451663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71160.534969677494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23720.178323225831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23720.178323225831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118600.89161612916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593004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topLeftCell="A4"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1141</v>
      </c>
      <c r="B7" s="1235"/>
      <c r="C7" s="1235"/>
      <c r="D7" s="1235"/>
      <c r="E7" s="1235"/>
      <c r="F7" s="2"/>
      <c r="G7" s="24" t="s">
        <v>495</v>
      </c>
      <c r="H7" s="23"/>
    </row>
    <row r="8" spans="1:8">
      <c r="A8" s="22" t="s">
        <v>494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3130.1853725868477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3130.1853725868477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498</v>
      </c>
      <c r="B21" s="46"/>
      <c r="C21" s="47"/>
      <c r="D21" s="100" t="s">
        <v>1</v>
      </c>
      <c r="E21" s="98">
        <f>+MATERIALES!E163</f>
        <v>34475.1</v>
      </c>
      <c r="F21" s="122">
        <v>1</v>
      </c>
      <c r="G21" s="96">
        <f>+E21*F21</f>
        <v>34475.1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34475.1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0.1492537459358132</v>
      </c>
      <c r="G34" s="67">
        <f>+E34*F34</f>
        <v>17618.789999999975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0.1492518648322243</v>
      </c>
      <c r="G35" s="67">
        <f>+E35*F35</f>
        <v>13683.063725868498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31301.853725868474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68907.139098455315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10336.070864768297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3445.3569549227659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3445.3569549227659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17226.784774613829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86134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1141</v>
      </c>
      <c r="B7" s="1235"/>
      <c r="C7" s="1235"/>
      <c r="D7" s="1235"/>
      <c r="E7" s="1235"/>
      <c r="F7" s="2"/>
      <c r="G7" s="24" t="s">
        <v>496</v>
      </c>
      <c r="H7" s="23"/>
    </row>
    <row r="8" spans="1:8">
      <c r="A8" s="22" t="s">
        <v>497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3495.4035373074003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3495.4035373074003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502</v>
      </c>
      <c r="B21" s="46"/>
      <c r="C21" s="47"/>
      <c r="D21" s="100" t="s">
        <v>1</v>
      </c>
      <c r="E21" s="98">
        <f>+MATERIALES!E164</f>
        <v>57702.5</v>
      </c>
      <c r="F21" s="122">
        <v>1</v>
      </c>
      <c r="G21" s="96">
        <f>+E21*F21</f>
        <v>57702.5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57702.5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0.16666663636960477</v>
      </c>
      <c r="G34" s="67">
        <f>+E34*F34</f>
        <v>19674.309999999972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0.16666790067959014</v>
      </c>
      <c r="G35" s="67">
        <f>+E35*F35</f>
        <v>15279.725373074034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34954.035373074003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96151.938910381403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14422.790836557209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4807.5969455190707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4807.5969455190707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24037.984727595351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120190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topLeftCell="A3"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1141</v>
      </c>
      <c r="B7" s="1235"/>
      <c r="C7" s="1235"/>
      <c r="D7" s="1235"/>
      <c r="E7" s="1235"/>
      <c r="F7" s="2"/>
      <c r="G7" s="24" t="s">
        <v>499</v>
      </c>
      <c r="H7" s="23"/>
    </row>
    <row r="8" spans="1:8">
      <c r="A8" s="22" t="s">
        <v>500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4369.2185550543072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4369.2185550543072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501</v>
      </c>
      <c r="B21" s="46"/>
      <c r="C21" s="47"/>
      <c r="D21" s="100" t="s">
        <v>1</v>
      </c>
      <c r="E21" s="98">
        <f>+MATERIALES!E165</f>
        <v>74681.7</v>
      </c>
      <c r="F21" s="122">
        <v>1</v>
      </c>
      <c r="G21" s="96">
        <f>+E21*F21</f>
        <v>74681.7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74681.7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0.20579193191511269</v>
      </c>
      <c r="G34" s="67">
        <f>+E34*F34</f>
        <v>24292.890000000043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0.21160327068243934</v>
      </c>
      <c r="G35" s="67">
        <f>+E35*F35</f>
        <v>19399.295550543033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43692.185550543072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122743.10410559738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18411.465615839606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6137.1552052798688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6137.1552052798688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30685.776026399344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153429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1141</v>
      </c>
      <c r="B7" s="1235"/>
      <c r="C7" s="1235"/>
      <c r="D7" s="1235"/>
      <c r="E7" s="1235"/>
      <c r="F7" s="2"/>
      <c r="G7" s="24" t="s">
        <v>503</v>
      </c>
      <c r="H7" s="23"/>
    </row>
    <row r="8" spans="1:8">
      <c r="A8" s="22" t="s">
        <v>504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5115.1697542343509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5115.1697542343509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505</v>
      </c>
      <c r="B21" s="46"/>
      <c r="C21" s="47"/>
      <c r="D21" s="100" t="s">
        <v>1</v>
      </c>
      <c r="E21" s="98">
        <f>+MATERIALES!E166</f>
        <v>94695.5</v>
      </c>
      <c r="F21" s="122">
        <v>1</v>
      </c>
      <c r="G21" s="96">
        <f>+E21*F21</f>
        <v>94695.5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94695.5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120">
        <v>0.24390245253988752</v>
      </c>
      <c r="G34" s="67">
        <f>+E34*F34</f>
        <v>28791.680000000029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120">
        <v>0.24389817826885749</v>
      </c>
      <c r="G35" s="67">
        <f>+E35*F35</f>
        <v>22360.017542343474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51151.697542343507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150962.36729657784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22644.355094486677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7548.1183648288925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7548.1183648288925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37740.59182414446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188703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1141</v>
      </c>
      <c r="B7" s="1235"/>
      <c r="C7" s="1235"/>
      <c r="D7" s="1235"/>
      <c r="E7" s="1235"/>
      <c r="F7" s="2"/>
      <c r="G7" s="24" t="s">
        <v>506</v>
      </c>
      <c r="H7" s="23"/>
    </row>
    <row r="8" spans="1:8">
      <c r="A8" s="22" t="s">
        <v>507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5668.1680513244937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5668.1680513244937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508</v>
      </c>
      <c r="B21" s="46"/>
      <c r="C21" s="47"/>
      <c r="D21" s="100" t="s">
        <v>1</v>
      </c>
      <c r="E21" s="98">
        <f>+MATERIALES!E167</f>
        <v>125903.5</v>
      </c>
      <c r="F21" s="122">
        <v>1</v>
      </c>
      <c r="G21" s="96">
        <f>+E21*F21</f>
        <v>125903.5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125903.5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0.27027025090386503</v>
      </c>
      <c r="G34" s="67">
        <f>+E34*F34</f>
        <v>31904.289999999972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0.2702663536373574</v>
      </c>
      <c r="G35" s="67">
        <f>+E35*F35</f>
        <v>24777.390513244958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56681.68051324493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188253.34856456943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28238.002284685415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9412.6674282284712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9412.6674282284712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47063.337141142358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235317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1141</v>
      </c>
      <c r="B7" s="1235"/>
      <c r="C7" s="1235"/>
      <c r="D7" s="1235"/>
      <c r="E7" s="1235"/>
      <c r="F7" s="2"/>
      <c r="G7" s="24" t="s">
        <v>509</v>
      </c>
      <c r="H7" s="23"/>
    </row>
    <row r="8" spans="1:8">
      <c r="A8" s="22" t="s">
        <v>511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6168.3655582502633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6168.3655582502633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512</v>
      </c>
      <c r="B21" s="46"/>
      <c r="C21" s="47"/>
      <c r="D21" s="100" t="s">
        <v>1</v>
      </c>
      <c r="E21" s="98">
        <f>+MATERIALES!E168</f>
        <v>164062.39999999999</v>
      </c>
      <c r="F21" s="122">
        <v>1</v>
      </c>
      <c r="G21" s="96">
        <f>+E21*F21</f>
        <v>164062.39999999999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164062.39999999999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0.29411767332313743</v>
      </c>
      <c r="G34" s="67">
        <f>+E34*F34</f>
        <v>34719.379999999997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0.29412041741281048</v>
      </c>
      <c r="G35" s="67">
        <f>+E35*F35</f>
        <v>26964.275582502629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61683.65558250263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231914.42114075288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34787.16317111293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11595.721057037645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11595.721057037645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57978.605285188227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289893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1141</v>
      </c>
      <c r="B7" s="1235"/>
      <c r="C7" s="1235"/>
      <c r="D7" s="1235"/>
      <c r="E7" s="1235"/>
      <c r="F7" s="2"/>
      <c r="G7" s="24" t="s">
        <v>513</v>
      </c>
      <c r="H7" s="23"/>
    </row>
    <row r="8" spans="1:8">
      <c r="A8" s="22" t="s">
        <v>510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148</v>
      </c>
      <c r="B12" s="168"/>
      <c r="C12" s="169"/>
      <c r="D12" s="30" t="s">
        <v>7</v>
      </c>
      <c r="E12" s="48">
        <f>+'EQUIPOS '!D8</f>
        <v>25400</v>
      </c>
      <c r="F12" s="120">
        <v>9.9999999999999201E-2</v>
      </c>
      <c r="G12" s="507">
        <f>+E12*F12</f>
        <v>2539.9999999999795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6168.3655574164031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8708.3655574163822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514</v>
      </c>
      <c r="B21" s="46"/>
      <c r="C21" s="47"/>
      <c r="D21" s="100" t="s">
        <v>1</v>
      </c>
      <c r="E21" s="98">
        <f>+MATERIALES!E169</f>
        <v>221390.7</v>
      </c>
      <c r="F21" s="122">
        <v>1</v>
      </c>
      <c r="G21" s="96">
        <f>+E21*F21</f>
        <v>221390.7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221390.7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0.29411767332313743</v>
      </c>
      <c r="G34" s="67">
        <f>+E34*F34</f>
        <v>34719.379999999997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0.29412041732185484</v>
      </c>
      <c r="G35" s="67">
        <f>+E35*F35</f>
        <v>26964.275574164029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61683.655574164026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291782.72113158042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43767.408169737064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14589.136056579022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14589.136056579022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72945.680282895104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364728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1141</v>
      </c>
      <c r="B7" s="1235"/>
      <c r="C7" s="1235"/>
      <c r="D7" s="1235"/>
      <c r="E7" s="1235"/>
      <c r="F7" s="2"/>
      <c r="G7" s="24" t="s">
        <v>515</v>
      </c>
      <c r="H7" s="23"/>
    </row>
    <row r="8" spans="1:8">
      <c r="A8" s="22" t="s">
        <v>516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148</v>
      </c>
      <c r="B12" s="168"/>
      <c r="C12" s="169"/>
      <c r="D12" s="30" t="s">
        <v>7</v>
      </c>
      <c r="E12" s="48">
        <f>+'EQUIPOS '!D8</f>
        <v>25400</v>
      </c>
      <c r="F12" s="120">
        <v>9.9999999999999201E-2</v>
      </c>
      <c r="G12" s="507">
        <f>+E12*F12</f>
        <v>2539.9999999999795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6553.7960388075553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9093.7960388075353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517</v>
      </c>
      <c r="B21" s="46"/>
      <c r="C21" s="47"/>
      <c r="D21" s="100" t="s">
        <v>1</v>
      </c>
      <c r="E21" s="98">
        <f>+MATERIALES!E170</f>
        <v>265054.3</v>
      </c>
      <c r="F21" s="122">
        <v>1</v>
      </c>
      <c r="G21" s="96">
        <f>+E21*F21</f>
        <v>265054.3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265054.3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0.31250001731673049</v>
      </c>
      <c r="G34" s="67">
        <f>+E34*F34</f>
        <v>36889.339999999997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0.31249288196378383</v>
      </c>
      <c r="G35" s="67">
        <f>+E35*F35</f>
        <v>28648.620388075549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65537.960388075546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339686.05642688309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50952.908464032465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16984.302821344154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16984.302821344154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84921.514106720773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424608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7" customHeight="1">
      <c r="A7" s="1235" t="s">
        <v>1141</v>
      </c>
      <c r="B7" s="1235"/>
      <c r="C7" s="1235"/>
      <c r="D7" s="1235"/>
      <c r="E7" s="1235"/>
      <c r="F7" s="2"/>
      <c r="G7" s="24" t="s">
        <v>518</v>
      </c>
      <c r="H7" s="23"/>
    </row>
    <row r="8" spans="1:8">
      <c r="A8" s="22" t="s">
        <v>519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148</v>
      </c>
      <c r="B12" s="168"/>
      <c r="C12" s="169"/>
      <c r="D12" s="30" t="s">
        <v>7</v>
      </c>
      <c r="E12" s="48">
        <f>+'EQUIPOS '!D8</f>
        <v>25400</v>
      </c>
      <c r="F12" s="120">
        <v>9.9999999999999201E-2</v>
      </c>
      <c r="G12" s="507">
        <f>+E12*F12</f>
        <v>2539.9999999999795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7622.5793910613738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10162.579391061354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 t="s">
        <v>520</v>
      </c>
      <c r="B21" s="46"/>
      <c r="C21" s="47"/>
      <c r="D21" s="100" t="s">
        <v>1</v>
      </c>
      <c r="E21" s="98">
        <f>+MATERIALES!E171</f>
        <v>379804.8</v>
      </c>
      <c r="F21" s="122">
        <v>1</v>
      </c>
      <c r="G21" s="96">
        <f>+E21*F21</f>
        <v>379804.8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379804.8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0.23255813469116182</v>
      </c>
      <c r="G34" s="67">
        <f>+E34*F34</f>
        <v>54905.05999999999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0.23256189984226383</v>
      </c>
      <c r="G35" s="67">
        <f>+E35*F35</f>
        <v>21320.733910613741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76225.793910613735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466193.17330167507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69928.975995251254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23309.658665083756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23309.658665083756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116548.29332541877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582741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47"/>
  <sheetViews>
    <sheetView topLeftCell="A40" workbookViewId="0">
      <selection activeCell="J30" sqref="J30"/>
    </sheetView>
  </sheetViews>
  <sheetFormatPr baseColWidth="10" defaultRowHeight="14.4"/>
  <cols>
    <col min="3" max="3" width="14.109375" customWidth="1"/>
  </cols>
  <sheetData>
    <row r="1" spans="1:8" ht="15" thickBot="1">
      <c r="A1" s="2"/>
      <c r="B1" s="2"/>
      <c r="C1" s="2"/>
      <c r="D1" s="2"/>
      <c r="E1" s="2"/>
      <c r="F1" s="2"/>
      <c r="G1" s="2"/>
      <c r="H1" s="2"/>
    </row>
    <row r="2" spans="1:8">
      <c r="A2" s="1197" t="s">
        <v>317</v>
      </c>
      <c r="B2" s="1198"/>
      <c r="C2" s="1199"/>
      <c r="D2" s="17"/>
      <c r="E2" s="18"/>
      <c r="F2" s="17"/>
      <c r="G2" s="17"/>
      <c r="H2" s="19"/>
    </row>
    <row r="3" spans="1:8">
      <c r="A3" s="1200"/>
      <c r="B3" s="1201"/>
      <c r="C3" s="1202"/>
      <c r="D3" s="20"/>
      <c r="E3" s="13" t="s">
        <v>281</v>
      </c>
      <c r="F3" s="20"/>
      <c r="G3" s="20"/>
      <c r="H3" s="21"/>
    </row>
    <row r="4" spans="1:8" ht="15" thickBot="1">
      <c r="A4" s="1203" t="s">
        <v>318</v>
      </c>
      <c r="B4" s="1204"/>
      <c r="C4" s="1205"/>
      <c r="D4" s="1182"/>
      <c r="E4" s="1183"/>
      <c r="F4" s="1183"/>
      <c r="G4" s="1183"/>
      <c r="H4" s="1184"/>
    </row>
    <row r="5" spans="1:8">
      <c r="A5" s="22"/>
      <c r="B5" s="23"/>
      <c r="C5" s="23"/>
      <c r="D5" s="23"/>
      <c r="E5" s="23"/>
      <c r="F5" s="23"/>
      <c r="G5" s="23"/>
      <c r="H5" s="23"/>
    </row>
    <row r="6" spans="1:8">
      <c r="A6" s="22" t="s">
        <v>319</v>
      </c>
      <c r="B6" s="24"/>
      <c r="C6" s="23"/>
      <c r="D6" s="2"/>
      <c r="E6" s="24"/>
      <c r="F6" s="2"/>
      <c r="G6" s="24" t="s">
        <v>336</v>
      </c>
      <c r="H6" s="23"/>
    </row>
    <row r="7" spans="1:8">
      <c r="A7" s="22" t="s">
        <v>1080</v>
      </c>
      <c r="B7" s="24"/>
      <c r="C7" s="23"/>
      <c r="D7" s="24"/>
      <c r="E7" s="24"/>
      <c r="F7" s="24"/>
      <c r="G7" s="24" t="s">
        <v>1294</v>
      </c>
      <c r="H7" s="23"/>
    </row>
    <row r="8" spans="1:8">
      <c r="A8" s="24"/>
      <c r="B8" s="24"/>
      <c r="C8" s="23"/>
      <c r="D8" s="24"/>
      <c r="E8" s="24"/>
      <c r="F8" s="24"/>
      <c r="G8" s="24"/>
      <c r="H8" s="23"/>
    </row>
    <row r="9" spans="1:8" ht="15" thickBot="1">
      <c r="A9" s="25" t="s">
        <v>282</v>
      </c>
      <c r="B9" s="25"/>
      <c r="C9" s="23"/>
      <c r="D9" s="23"/>
      <c r="E9" s="23"/>
      <c r="F9" s="23"/>
      <c r="G9" s="23"/>
      <c r="H9" s="23"/>
    </row>
    <row r="10" spans="1:8">
      <c r="A10" s="1185" t="s">
        <v>283</v>
      </c>
      <c r="B10" s="1186"/>
      <c r="C10" s="1187"/>
      <c r="D10" s="26" t="s">
        <v>284</v>
      </c>
      <c r="E10" s="27" t="s">
        <v>285</v>
      </c>
      <c r="F10" s="26" t="s">
        <v>286</v>
      </c>
      <c r="G10" s="28" t="s">
        <v>287</v>
      </c>
      <c r="H10" s="29"/>
    </row>
    <row r="11" spans="1:8">
      <c r="A11" s="1188" t="s">
        <v>947</v>
      </c>
      <c r="B11" s="1189"/>
      <c r="C11" s="1190"/>
      <c r="D11" s="30"/>
      <c r="E11" s="31"/>
      <c r="F11" s="32"/>
      <c r="G11" s="33">
        <f>H37*10%</f>
        <v>849.3133414020142</v>
      </c>
      <c r="H11" s="34"/>
    </row>
    <row r="12" spans="1:8">
      <c r="A12" s="1191"/>
      <c r="B12" s="1192"/>
      <c r="C12" s="1193"/>
      <c r="D12" s="35"/>
      <c r="E12" s="36"/>
      <c r="F12" s="37"/>
      <c r="G12" s="33"/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SUM(G11:G16)</f>
        <v>849.3133414020142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75" t="s">
        <v>291</v>
      </c>
      <c r="E19" s="75" t="s">
        <v>292</v>
      </c>
      <c r="F19" s="75" t="s">
        <v>293</v>
      </c>
      <c r="G19" s="76" t="s">
        <v>287</v>
      </c>
      <c r="H19" s="29"/>
    </row>
    <row r="20" spans="1:8" ht="27" customHeight="1">
      <c r="A20" s="1212" t="s">
        <v>265</v>
      </c>
      <c r="B20" s="1213"/>
      <c r="C20" s="1214"/>
      <c r="D20" s="35" t="s">
        <v>9</v>
      </c>
      <c r="E20" s="482">
        <f>MATERIALES!E35</f>
        <v>3571.4285714285716</v>
      </c>
      <c r="F20" s="113">
        <v>1</v>
      </c>
      <c r="G20" s="50">
        <f>E20*F20</f>
        <v>3571.4285714285716</v>
      </c>
      <c r="H20" s="34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3571.4285714285716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878" t="s">
        <v>297</v>
      </c>
      <c r="E26" s="27" t="s">
        <v>285</v>
      </c>
      <c r="F26" s="878" t="s">
        <v>286</v>
      </c>
      <c r="G26" s="56" t="s">
        <v>287</v>
      </c>
      <c r="H26" s="29"/>
    </row>
    <row r="27" spans="1:8">
      <c r="A27" s="45" t="s">
        <v>1602</v>
      </c>
      <c r="B27" s="46"/>
      <c r="C27" s="899">
        <v>1</v>
      </c>
      <c r="D27" s="900">
        <v>8</v>
      </c>
      <c r="E27" s="59">
        <f>+'EQUIPOS '!D19</f>
        <v>57709</v>
      </c>
      <c r="F27" s="416">
        <v>2.5000000000000001E-2</v>
      </c>
      <c r="G27" s="31">
        <f>D27*E27*F27</f>
        <v>11541.800000000001</v>
      </c>
      <c r="H27" s="34"/>
    </row>
    <row r="28" spans="1:8">
      <c r="A28" s="45"/>
      <c r="B28" s="46"/>
      <c r="C28" s="60"/>
      <c r="D28" s="30"/>
      <c r="E28" s="61"/>
      <c r="F28" s="31"/>
      <c r="G28" s="31"/>
      <c r="H28" s="34"/>
    </row>
    <row r="29" spans="1:8" ht="15" thickBot="1">
      <c r="A29" s="62"/>
      <c r="B29" s="63"/>
      <c r="C29" s="38"/>
      <c r="D29" s="39"/>
      <c r="E29" s="40"/>
      <c r="F29" s="4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11541.800000000001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08" t="s">
        <v>302</v>
      </c>
      <c r="D32" s="108" t="s">
        <v>303</v>
      </c>
      <c r="E32" s="85" t="s">
        <v>304</v>
      </c>
      <c r="F32" s="64" t="s">
        <v>286</v>
      </c>
      <c r="G32" s="107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3.5973865877711515E-2</v>
      </c>
      <c r="G33" s="67">
        <f>+E33*F33</f>
        <v>8493.1334140201416</v>
      </c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8493.1334140201416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24455.675326850731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75" t="s">
        <v>308</v>
      </c>
      <c r="G41" s="7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3668.3512990276095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1222.7837663425366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(SALARIOS!C45)</f>
        <v>0.05</v>
      </c>
      <c r="G44" s="81">
        <f>+F44*H39</f>
        <v>1222.7837663425366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6113.9188317126827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30570</v>
      </c>
    </row>
  </sheetData>
  <mergeCells count="14">
    <mergeCell ref="A32:B32"/>
    <mergeCell ref="A13:C13"/>
    <mergeCell ref="A14:C14"/>
    <mergeCell ref="A15:C15"/>
    <mergeCell ref="A16:C16"/>
    <mergeCell ref="A19:C19"/>
    <mergeCell ref="A26:B26"/>
    <mergeCell ref="A20:C20"/>
    <mergeCell ref="A12:C12"/>
    <mergeCell ref="A2:C3"/>
    <mergeCell ref="A4:C4"/>
    <mergeCell ref="D4:H4"/>
    <mergeCell ref="A10:C10"/>
    <mergeCell ref="A11:C11"/>
  </mergeCells>
  <pageMargins left="0.7" right="0.7" top="0.75" bottom="0.75" header="0.3" footer="0.3"/>
  <pageSetup scale="9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522</v>
      </c>
      <c r="H7" s="23"/>
    </row>
    <row r="8" spans="1:8">
      <c r="A8" s="22" t="s">
        <v>468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2726.4062138105173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2726.4062138105173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0.13</v>
      </c>
      <c r="G34" s="67">
        <f>+E34*F34</f>
        <v>15345.964589625813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0.13</v>
      </c>
      <c r="G35" s="67">
        <f>+E35*F35</f>
        <v>11918.097548479358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27264.062138105171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29990.46835191569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4498.5702527873536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1499.5234175957846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1499.5234175957846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7497.6170879789233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37488</v>
      </c>
    </row>
  </sheetData>
  <mergeCells count="1">
    <mergeCell ref="A3:C4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D34" sqref="D34:D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523</v>
      </c>
      <c r="H7" s="23"/>
    </row>
    <row r="8" spans="1:8">
      <c r="A8" s="22" t="s">
        <v>471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3145.8533236275198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3145.8533236275198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0.15</v>
      </c>
      <c r="G34" s="67">
        <f>+E34*F34</f>
        <v>17706.882218799012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0.15</v>
      </c>
      <c r="G35" s="67">
        <f>+E35*F35</f>
        <v>13751.651017476181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31458.533236275194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34604.386559902712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5190.6579839854066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1730.2193279951357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1730.2193279951357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8651.096639975678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43255</v>
      </c>
    </row>
  </sheetData>
  <mergeCells count="1">
    <mergeCell ref="A3:C4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D34" sqref="D34:D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524</v>
      </c>
      <c r="H7" s="23"/>
    </row>
    <row r="8" spans="1:8">
      <c r="A8" s="22" t="s">
        <v>474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3984.7475432615247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3984.7475432615247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0.19</v>
      </c>
      <c r="G34" s="67">
        <f>+E34*F34</f>
        <v>22428.717477145419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0.19</v>
      </c>
      <c r="G35" s="67">
        <f>+E35*F35</f>
        <v>17418.757955469831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39847.475432615247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43832.222975876772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6574.8334463815154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2191.6111487938388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2191.6111487938388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10958.055743969195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54790</v>
      </c>
    </row>
  </sheetData>
  <mergeCells count="1">
    <mergeCell ref="A3:C4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D34" sqref="D34:D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525</v>
      </c>
      <c r="H7" s="23"/>
    </row>
    <row r="8" spans="1:8">
      <c r="A8" s="22" t="s">
        <v>477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4613.9182079870288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4613.9182079870288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0.22</v>
      </c>
      <c r="G34" s="67">
        <f>+E34*F34</f>
        <v>25970.093920905219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0.22</v>
      </c>
      <c r="G35" s="67">
        <f>+E35*F35</f>
        <v>20169.088158965067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46139.182079870283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50753.100287857313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7612.9650431785967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2537.6550143928657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2537.6550143928657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12688.275071964328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63441</v>
      </c>
    </row>
  </sheetData>
  <mergeCells count="1">
    <mergeCell ref="A3:C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526</v>
      </c>
      <c r="H7" s="23"/>
    </row>
    <row r="8" spans="1:8">
      <c r="A8" s="22" t="s">
        <v>480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5033.3912329928908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5033.3912329928908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0.24000219534883718</v>
      </c>
      <c r="G34" s="67">
        <f>+E34*F34</f>
        <v>28331.270701967016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0.24</v>
      </c>
      <c r="G35" s="67">
        <f>+E35*F35</f>
        <v>22002.64162796189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50333.912329928906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55367.303562921799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8305.0955344382692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2768.3651781460903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2768.3651781460903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13841.82589073045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69209</v>
      </c>
    </row>
  </sheetData>
  <mergeCells count="1">
    <mergeCell ref="A3:C4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I18" sqref="I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527</v>
      </c>
      <c r="H7" s="23"/>
    </row>
    <row r="8" spans="1:8">
      <c r="A8" s="22" t="s">
        <v>483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5872.2595374380371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0.28000000000000003</v>
      </c>
      <c r="G34" s="67">
        <f>+E34*F34</f>
        <v>33052.846808424831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0.28000000000000003</v>
      </c>
      <c r="G35" s="67">
        <f>+E35*F35</f>
        <v>25669.748565955542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58722.595374380369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64594.854911818409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9689.2282367727603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3229.7427455909205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3229.7427455909205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16148.7137279546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80744</v>
      </c>
    </row>
  </sheetData>
  <mergeCells count="1">
    <mergeCell ref="A3:C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I18" sqref="I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528</v>
      </c>
      <c r="H7" s="23"/>
    </row>
    <row r="8" spans="1:8">
      <c r="A8" s="22" t="s">
        <v>486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6291.7066472550396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6291.7066472550396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</v>
      </c>
      <c r="G34" s="67">
        <f>+E34*F34</f>
        <v>35413.764437598024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</v>
      </c>
      <c r="G35" s="67">
        <f>+E35*F35</f>
        <v>27503.302034952361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62917.066472550388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69208.773119805424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10381.315967970813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3460.4386559902714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3460.4386559902714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17302.193279951356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86511</v>
      </c>
    </row>
  </sheetData>
  <mergeCells count="1">
    <mergeCell ref="A3:C4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>
      <selection activeCell="D34" sqref="D34:D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529</v>
      </c>
      <c r="H7" s="23"/>
    </row>
    <row r="8" spans="1:8">
      <c r="A8" s="22" t="s">
        <v>489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6711.1537570720429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6711.1537570720429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0.32</v>
      </c>
      <c r="G34" s="67">
        <f>+E34*F34</f>
        <v>37774.682066771231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67111.537570720422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73822.691327792461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11073.403699168868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3691.1345663896232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3691.1345663896232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18455.672831948115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92278</v>
      </c>
    </row>
  </sheetData>
  <mergeCells count="1">
    <mergeCell ref="A3:C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530</v>
      </c>
      <c r="H7" s="23"/>
    </row>
    <row r="8" spans="1:8">
      <c r="A8" s="22" t="s">
        <v>492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8599.887860410603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8599.887860410603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0.32</v>
      </c>
      <c r="G34" s="67">
        <f>+E34*F34</f>
        <v>56662.023100156839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85998.878604106023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94598.766464516622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14189.814969677493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4729.9383232258315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4729.9383232258315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23649.691616129159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118248</v>
      </c>
    </row>
  </sheetData>
  <mergeCells count="1">
    <mergeCell ref="A3:C4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J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531</v>
      </c>
      <c r="H7" s="23"/>
    </row>
    <row r="8" spans="1:8">
      <c r="A8" s="22" t="s">
        <v>494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3130.1853725868477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3130.1853725868477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0.1492537459358132</v>
      </c>
      <c r="G34" s="67">
        <f>+E34*F34</f>
        <v>17618.789999999975</v>
      </c>
      <c r="H34" s="34"/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0.1492518648322243</v>
      </c>
      <c r="G35" s="67">
        <f>+E35*F35</f>
        <v>13683.063725868498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31301.853725868474</v>
      </c>
      <c r="J38" s="604"/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34432.039098455323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5164.8058647682983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1721.6019549227663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1721.6019549227663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8608.0097746138308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43040</v>
      </c>
    </row>
  </sheetData>
  <mergeCells count="1">
    <mergeCell ref="A3:C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47"/>
  <sheetViews>
    <sheetView zoomScaleNormal="100" workbookViewId="0">
      <selection activeCell="E11" sqref="E11:F11"/>
    </sheetView>
  </sheetViews>
  <sheetFormatPr baseColWidth="10" defaultRowHeight="14.4"/>
  <sheetData>
    <row r="1" spans="1:8" ht="15" thickBot="1">
      <c r="A1" s="2"/>
      <c r="B1" s="2"/>
      <c r="C1" s="2"/>
      <c r="D1" s="2"/>
      <c r="E1" s="2"/>
      <c r="F1" s="2"/>
      <c r="G1" s="2"/>
      <c r="H1" s="2"/>
    </row>
    <row r="2" spans="1:8">
      <c r="A2" s="1197" t="s">
        <v>317</v>
      </c>
      <c r="B2" s="1198"/>
      <c r="C2" s="1199"/>
      <c r="D2" s="17"/>
      <c r="E2" s="18"/>
      <c r="F2" s="17"/>
      <c r="G2" s="17"/>
      <c r="H2" s="19"/>
    </row>
    <row r="3" spans="1:8">
      <c r="A3" s="1200"/>
      <c r="B3" s="1201"/>
      <c r="C3" s="1202"/>
      <c r="D3" s="20"/>
      <c r="E3" s="13" t="s">
        <v>281</v>
      </c>
      <c r="F3" s="20"/>
      <c r="G3" s="20"/>
      <c r="H3" s="21"/>
    </row>
    <row r="4" spans="1:8" ht="15" thickBot="1">
      <c r="A4" s="1203" t="s">
        <v>318</v>
      </c>
      <c r="B4" s="1204"/>
      <c r="C4" s="1205"/>
      <c r="D4" s="1182"/>
      <c r="E4" s="1183"/>
      <c r="F4" s="1183"/>
      <c r="G4" s="1183"/>
      <c r="H4" s="1184"/>
    </row>
    <row r="5" spans="1:8">
      <c r="A5" s="22"/>
      <c r="B5" s="23"/>
      <c r="C5" s="23"/>
      <c r="D5" s="23"/>
      <c r="E5" s="23"/>
      <c r="F5" s="23"/>
      <c r="G5" s="23"/>
      <c r="H5" s="23"/>
    </row>
    <row r="6" spans="1:8">
      <c r="A6" s="22" t="s">
        <v>319</v>
      </c>
      <c r="B6" s="24"/>
      <c r="C6" s="23"/>
      <c r="D6" s="2"/>
      <c r="E6" s="24"/>
      <c r="F6" s="2"/>
      <c r="G6" s="24" t="s">
        <v>337</v>
      </c>
      <c r="H6" s="23"/>
    </row>
    <row r="7" spans="1:8">
      <c r="A7" s="22" t="s">
        <v>332</v>
      </c>
      <c r="B7" s="24"/>
      <c r="C7" s="23"/>
      <c r="D7" s="24"/>
      <c r="E7" s="24"/>
      <c r="F7" s="24"/>
      <c r="G7" s="24" t="s">
        <v>1294</v>
      </c>
      <c r="H7" s="23"/>
    </row>
    <row r="8" spans="1:8">
      <c r="A8" s="24"/>
      <c r="B8" s="24"/>
      <c r="C8" s="23"/>
      <c r="D8" s="24"/>
      <c r="E8" s="24"/>
      <c r="F8" s="24"/>
      <c r="G8" s="24"/>
      <c r="H8" s="23"/>
    </row>
    <row r="9" spans="1:8" ht="15" thickBot="1">
      <c r="A9" s="25" t="s">
        <v>282</v>
      </c>
      <c r="B9" s="25"/>
      <c r="C9" s="23"/>
      <c r="D9" s="23"/>
      <c r="E9" s="23"/>
      <c r="F9" s="23"/>
      <c r="G9" s="23"/>
      <c r="H9" s="23"/>
    </row>
    <row r="10" spans="1:8">
      <c r="A10" s="1185" t="s">
        <v>283</v>
      </c>
      <c r="B10" s="1186"/>
      <c r="C10" s="1187"/>
      <c r="D10" s="26" t="s">
        <v>284</v>
      </c>
      <c r="E10" s="27" t="s">
        <v>285</v>
      </c>
      <c r="F10" s="26" t="s">
        <v>286</v>
      </c>
      <c r="G10" s="28" t="s">
        <v>287</v>
      </c>
      <c r="H10" s="29"/>
    </row>
    <row r="11" spans="1:8">
      <c r="A11" s="1188" t="s">
        <v>6</v>
      </c>
      <c r="B11" s="1189"/>
      <c r="C11" s="1190"/>
      <c r="D11" s="30"/>
      <c r="E11" s="31">
        <f>'EQUIPOS '!D14</f>
        <v>115700</v>
      </c>
      <c r="F11" s="31">
        <v>5.0934222260769546E-2</v>
      </c>
      <c r="G11" s="33">
        <f>+E11*F11</f>
        <v>5893.0895155710368</v>
      </c>
      <c r="H11" s="34"/>
    </row>
    <row r="12" spans="1:8">
      <c r="A12" s="1191"/>
      <c r="B12" s="1192"/>
      <c r="C12" s="1193"/>
      <c r="D12" s="35"/>
      <c r="E12" s="36"/>
      <c r="F12" s="37"/>
      <c r="G12" s="33"/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SUM(G11:G16)</f>
        <v>5893.0895155710368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75" t="s">
        <v>291</v>
      </c>
      <c r="E19" s="75" t="s">
        <v>292</v>
      </c>
      <c r="F19" s="75" t="s">
        <v>293</v>
      </c>
      <c r="G19" s="76" t="s">
        <v>287</v>
      </c>
      <c r="H19" s="29"/>
    </row>
    <row r="20" spans="1:8" ht="28.5" customHeight="1">
      <c r="A20" s="1215" t="s">
        <v>265</v>
      </c>
      <c r="B20" s="1207"/>
      <c r="C20" s="1208"/>
      <c r="D20" s="30" t="s">
        <v>9</v>
      </c>
      <c r="E20" s="101">
        <f>MATERIALES!E35</f>
        <v>3571.4285714285716</v>
      </c>
      <c r="F20" s="115">
        <v>1</v>
      </c>
      <c r="G20" s="33">
        <f>E20*F20</f>
        <v>3571.4285714285716</v>
      </c>
      <c r="H20" s="34"/>
    </row>
    <row r="21" spans="1:8">
      <c r="A21" s="93"/>
      <c r="B21" s="88"/>
      <c r="C21" s="88"/>
      <c r="D21" s="94"/>
      <c r="E21" s="99"/>
      <c r="F21" s="95"/>
      <c r="G21" s="114"/>
      <c r="H21" s="34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3571.4285714285716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878" t="s">
        <v>297</v>
      </c>
      <c r="E26" s="27" t="s">
        <v>285</v>
      </c>
      <c r="F26" s="878" t="s">
        <v>286</v>
      </c>
      <c r="G26" s="56" t="s">
        <v>287</v>
      </c>
      <c r="H26" s="29"/>
    </row>
    <row r="27" spans="1:8">
      <c r="A27" s="45" t="s">
        <v>1602</v>
      </c>
      <c r="B27" s="46"/>
      <c r="C27" s="899">
        <v>1</v>
      </c>
      <c r="D27" s="900">
        <v>8</v>
      </c>
      <c r="E27" s="59">
        <f>+'EQUIPOS '!D19</f>
        <v>57709</v>
      </c>
      <c r="F27" s="416">
        <v>2.5000000000000001E-2</v>
      </c>
      <c r="G27" s="31">
        <f>D27*E27*F27</f>
        <v>11541.800000000001</v>
      </c>
      <c r="H27" s="34"/>
    </row>
    <row r="28" spans="1:8">
      <c r="A28" s="45"/>
      <c r="B28" s="46"/>
      <c r="C28" s="60"/>
      <c r="D28" s="30"/>
      <c r="E28" s="61"/>
      <c r="F28" s="31"/>
      <c r="G28" s="31"/>
      <c r="H28" s="34"/>
    </row>
    <row r="29" spans="1:8" ht="15" thickBot="1">
      <c r="A29" s="62"/>
      <c r="B29" s="63"/>
      <c r="C29" s="38"/>
      <c r="D29" s="39"/>
      <c r="E29" s="40"/>
      <c r="F29" s="4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11541.800000000001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10" t="s">
        <v>302</v>
      </c>
      <c r="D32" s="110" t="s">
        <v>303</v>
      </c>
      <c r="E32" s="85" t="s">
        <v>304</v>
      </c>
      <c r="F32" s="64" t="s">
        <v>286</v>
      </c>
      <c r="G32" s="109" t="s">
        <v>287</v>
      </c>
      <c r="H32" s="29"/>
    </row>
    <row r="33" spans="1:8">
      <c r="A33" s="45"/>
      <c r="B33" s="46"/>
      <c r="C33" s="65"/>
      <c r="D33" s="84"/>
      <c r="E33" s="31"/>
      <c r="F33" s="31"/>
      <c r="G33" s="67"/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53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0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21006.318086999607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75" t="s">
        <v>308</v>
      </c>
      <c r="G41" s="7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3150.9477130499408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1050.3159043499804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(SALARIOS!C45)</f>
        <v>0.05</v>
      </c>
      <c r="G44" s="81">
        <f>+F44*H39</f>
        <v>1050.3159043499804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5251.5795217499017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26258</v>
      </c>
    </row>
  </sheetData>
  <mergeCells count="14">
    <mergeCell ref="A32:B32"/>
    <mergeCell ref="A13:C13"/>
    <mergeCell ref="A14:C14"/>
    <mergeCell ref="A15:C15"/>
    <mergeCell ref="A16:C16"/>
    <mergeCell ref="A19:C19"/>
    <mergeCell ref="A26:B26"/>
    <mergeCell ref="A20:C20"/>
    <mergeCell ref="A12:C12"/>
    <mergeCell ref="A2:C3"/>
    <mergeCell ref="A4:C4"/>
    <mergeCell ref="D4:H4"/>
    <mergeCell ref="A10:C10"/>
    <mergeCell ref="A11:C11"/>
  </mergeCells>
  <pageMargins left="0.7" right="0.7" top="0.75" bottom="0.75" header="0.3" footer="0.3"/>
  <pageSetup paperSize="9" scale="9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532</v>
      </c>
      <c r="H7" s="23"/>
    </row>
    <row r="8" spans="1:8">
      <c r="A8" s="22" t="s">
        <v>497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3495.4035373073925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3495.4035373073925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0.16666663636960477</v>
      </c>
      <c r="G34" s="67">
        <f>+E34*F34</f>
        <v>19674.309999999972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0.16666790067958925</v>
      </c>
      <c r="G35" s="67">
        <f>+E35*F35</f>
        <v>15279.725373073952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34954.035373073923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38449.438910381316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5767.4158365571975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1922.4719455190659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1922.4719455190659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9612.3597275953289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48062</v>
      </c>
    </row>
  </sheetData>
  <mergeCells count="1">
    <mergeCell ref="A3:C4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533</v>
      </c>
      <c r="H7" s="23"/>
    </row>
    <row r="8" spans="1:8">
      <c r="A8" s="22" t="s">
        <v>500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4369.2549115216034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4369.2549115216034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0.20833331664021237</v>
      </c>
      <c r="G34" s="67">
        <f>+E34*F34</f>
        <v>24592.890000000007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0.20833490201587468</v>
      </c>
      <c r="G35" s="67">
        <f>+E35*F35</f>
        <v>19099.659115216025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43692.549115216032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48061.804026737635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7209.270604010645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2403.0902013368818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2403.0902013368818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12015.451006684409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60077</v>
      </c>
    </row>
  </sheetData>
  <mergeCells count="1">
    <mergeCell ref="A3:C4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534</v>
      </c>
      <c r="H7" s="23"/>
    </row>
    <row r="8" spans="1:8">
      <c r="A8" s="22" t="s">
        <v>504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5115.200570751449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5115.200570751449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0.24390245253988752</v>
      </c>
      <c r="G34" s="67">
        <f>+E34*F34</f>
        <v>28791.680000000029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0.24390153966710626</v>
      </c>
      <c r="G35" s="67">
        <f>+E35*F35</f>
        <v>22360.325707514461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51152.005707514487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56267.206278265934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8440.0809417398905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2813.360313913297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2813.360313913297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14066.801569566485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70334</v>
      </c>
    </row>
  </sheetData>
  <mergeCells count="1">
    <mergeCell ref="A3:C4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8"/>
  <sheetViews>
    <sheetView workbookViewId="0">
      <selection activeCell="M39" sqref="M3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535</v>
      </c>
      <c r="H7" s="23"/>
    </row>
    <row r="8" spans="1:8">
      <c r="A8" s="22" t="s">
        <v>507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5159.0769635796105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5159.0769635796105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0.27027025090386503</v>
      </c>
      <c r="G34" s="67">
        <f>+E34*F34</f>
        <v>31904.289999999972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0.21473581183936807</v>
      </c>
      <c r="G35" s="67">
        <f>+E35*F35</f>
        <v>19686.479635796131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51590.769635796103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56749.846599375713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8512.4769899063558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2837.4923299687857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2837.4923299687857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14187.461649843926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70937</v>
      </c>
    </row>
  </sheetData>
  <mergeCells count="1">
    <mergeCell ref="A3:C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8"/>
  <sheetViews>
    <sheetView workbookViewId="0">
      <selection activeCell="H48" sqref="H4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536</v>
      </c>
      <c r="H7" s="23"/>
    </row>
    <row r="8" spans="1:8">
      <c r="A8" s="22" t="s">
        <v>511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6168.3655582502633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6168.3655582502633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0.29411767332313743</v>
      </c>
      <c r="G34" s="67">
        <f>+E34*F34</f>
        <v>34719.379999999997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0.29412041741281048</v>
      </c>
      <c r="G35" s="67">
        <f>+E35*F35</f>
        <v>26964.275582502629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61683.65558250263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67852.021140752899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10177.803171112935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3392.6010570376452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3392.6010570376452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16963.005285188225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84815</v>
      </c>
    </row>
  </sheetData>
  <mergeCells count="1">
    <mergeCell ref="A3:C4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7"/>
  <sheetViews>
    <sheetView workbookViewId="0">
      <selection activeCell="O33" sqref="O3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537</v>
      </c>
      <c r="H7" s="23"/>
    </row>
    <row r="8" spans="1:8">
      <c r="A8" s="22" t="s">
        <v>510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6168.3285229522799</v>
      </c>
      <c r="H12" s="34"/>
    </row>
    <row r="13" spans="1:8">
      <c r="A13" s="155" t="s">
        <v>148</v>
      </c>
      <c r="B13" s="156"/>
      <c r="C13" s="157"/>
      <c r="D13" s="35" t="s">
        <v>7</v>
      </c>
      <c r="E13" s="36">
        <f>+'EQUIPOS '!D8</f>
        <v>25400</v>
      </c>
      <c r="F13" s="31">
        <v>9.9999999999999201E-2</v>
      </c>
      <c r="G13" s="33">
        <f>+E13*F13</f>
        <v>2539.9999999999795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 ht="15" thickBot="1">
      <c r="A16" s="158"/>
      <c r="B16" s="159"/>
      <c r="C16" s="160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8708.3285229522589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64" t="s">
        <v>283</v>
      </c>
      <c r="B19" s="165"/>
      <c r="C19" s="166"/>
      <c r="D19" s="166" t="s">
        <v>291</v>
      </c>
      <c r="E19" s="166" t="s">
        <v>292</v>
      </c>
      <c r="F19" s="166" t="s">
        <v>293</v>
      </c>
      <c r="G19" s="165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52" t="s">
        <v>295</v>
      </c>
      <c r="B26" s="154"/>
      <c r="C26" s="55" t="s">
        <v>296</v>
      </c>
      <c r="D26" s="154" t="s">
        <v>297</v>
      </c>
      <c r="E26" s="154" t="s">
        <v>298</v>
      </c>
      <c r="F26" s="154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52" t="s">
        <v>301</v>
      </c>
      <c r="B32" s="154"/>
      <c r="C32" s="154" t="s">
        <v>302</v>
      </c>
      <c r="D32" s="154" t="s">
        <v>303</v>
      </c>
      <c r="E32" s="85" t="s">
        <v>304</v>
      </c>
      <c r="F32" s="64" t="s">
        <v>286</v>
      </c>
      <c r="G32" s="153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0.29411767332313743</v>
      </c>
      <c r="G33" s="67">
        <f>+E33*F33</f>
        <v>34719.379999999997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+SALARIOS!D48</f>
        <v>1.8056142176927319</v>
      </c>
      <c r="E34" s="31">
        <f>+C34*D34</f>
        <v>96005.657529107819</v>
      </c>
      <c r="F34" s="31">
        <v>0.28085746114855414</v>
      </c>
      <c r="G34" s="67">
        <f>+E34*F34</f>
        <v>26963.905229522792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61683.285229522793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70391.613752475052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65"/>
      <c r="C41" s="165"/>
      <c r="D41" s="165"/>
      <c r="E41" s="166"/>
      <c r="F41" s="166" t="s">
        <v>308</v>
      </c>
      <c r="G41" s="165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10558.742062871257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3519.580687623753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3519.580687623753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17597.903438118763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87990</v>
      </c>
    </row>
  </sheetData>
  <mergeCells count="1">
    <mergeCell ref="A3:C4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7"/>
  <sheetViews>
    <sheetView workbookViewId="0">
      <selection activeCell="H47" sqref="H4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538</v>
      </c>
      <c r="H7" s="23"/>
    </row>
    <row r="8" spans="1:8">
      <c r="A8" s="22" t="s">
        <v>516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6553.8337942500038</v>
      </c>
      <c r="H12" s="34"/>
    </row>
    <row r="13" spans="1:8">
      <c r="A13" s="155" t="s">
        <v>148</v>
      </c>
      <c r="B13" s="156"/>
      <c r="C13" s="157"/>
      <c r="D13" s="35" t="s">
        <v>7</v>
      </c>
      <c r="E13" s="36">
        <f>+'EQUIPOS '!D8</f>
        <v>25400</v>
      </c>
      <c r="F13" s="31">
        <v>9.9999999999999201E-2</v>
      </c>
      <c r="G13" s="33">
        <f>+E13*F13</f>
        <v>2539.9999999999795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 ht="15" thickBot="1">
      <c r="A16" s="158"/>
      <c r="B16" s="159"/>
      <c r="C16" s="160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9093.8337942499838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64" t="s">
        <v>283</v>
      </c>
      <c r="B19" s="165"/>
      <c r="C19" s="166"/>
      <c r="D19" s="166" t="s">
        <v>291</v>
      </c>
      <c r="E19" s="166" t="s">
        <v>292</v>
      </c>
      <c r="F19" s="166" t="s">
        <v>293</v>
      </c>
      <c r="G19" s="165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52" t="s">
        <v>295</v>
      </c>
      <c r="B26" s="154"/>
      <c r="C26" s="55" t="s">
        <v>296</v>
      </c>
      <c r="D26" s="154" t="s">
        <v>297</v>
      </c>
      <c r="E26" s="154" t="s">
        <v>298</v>
      </c>
      <c r="F26" s="154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52" t="s">
        <v>301</v>
      </c>
      <c r="B32" s="154"/>
      <c r="C32" s="154" t="s">
        <v>302</v>
      </c>
      <c r="D32" s="154" t="s">
        <v>303</v>
      </c>
      <c r="E32" s="85" t="s">
        <v>304</v>
      </c>
      <c r="F32" s="64" t="s">
        <v>286</v>
      </c>
      <c r="G32" s="153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0.31250001731673049</v>
      </c>
      <c r="G33" s="67">
        <f>+E33*F33</f>
        <v>36889.339999999997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0.31249700024482524</v>
      </c>
      <c r="G34" s="67">
        <f>+E34*F34</f>
        <v>28648.997942500038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65538.337942500031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74632.17173675001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65"/>
      <c r="C41" s="165"/>
      <c r="D41" s="165"/>
      <c r="E41" s="166"/>
      <c r="F41" s="166" t="s">
        <v>308</v>
      </c>
      <c r="G41" s="165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11194.825760512502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3731.6085868375008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3731.6085868375008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18658.042934187502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93290</v>
      </c>
    </row>
  </sheetData>
  <mergeCells count="1">
    <mergeCell ref="A3:C4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47"/>
  <sheetViews>
    <sheetView workbookViewId="0">
      <selection activeCell="H47" sqref="H4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521</v>
      </c>
      <c r="B7" s="24"/>
      <c r="C7" s="23"/>
      <c r="D7" s="2"/>
      <c r="E7" s="24"/>
      <c r="F7" s="2"/>
      <c r="G7" s="24" t="s">
        <v>539</v>
      </c>
      <c r="H7" s="23"/>
    </row>
    <row r="8" spans="1:8">
      <c r="A8" s="22" t="s">
        <v>519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7622.5793910613738</v>
      </c>
      <c r="H12" s="34"/>
    </row>
    <row r="13" spans="1:8">
      <c r="A13" s="155" t="s">
        <v>148</v>
      </c>
      <c r="B13" s="156"/>
      <c r="C13" s="157"/>
      <c r="D13" s="35" t="s">
        <v>7</v>
      </c>
      <c r="E13" s="36">
        <f>+'EQUIPOS '!D8</f>
        <v>25400</v>
      </c>
      <c r="F13" s="31">
        <v>9.9999999999999201E-2</v>
      </c>
      <c r="G13" s="33">
        <f>+E13*F13</f>
        <v>2539.9999999999795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 ht="15" thickBot="1">
      <c r="A16" s="158"/>
      <c r="B16" s="159"/>
      <c r="C16" s="160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10162.579391061354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64" t="s">
        <v>283</v>
      </c>
      <c r="B19" s="165"/>
      <c r="C19" s="166"/>
      <c r="D19" s="166" t="s">
        <v>291</v>
      </c>
      <c r="E19" s="166" t="s">
        <v>292</v>
      </c>
      <c r="F19" s="166" t="s">
        <v>293</v>
      </c>
      <c r="G19" s="165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52" t="s">
        <v>295</v>
      </c>
      <c r="B26" s="154"/>
      <c r="C26" s="55" t="s">
        <v>296</v>
      </c>
      <c r="D26" s="154" t="s">
        <v>297</v>
      </c>
      <c r="E26" s="154" t="s">
        <v>298</v>
      </c>
      <c r="F26" s="154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52" t="s">
        <v>301</v>
      </c>
      <c r="B32" s="154"/>
      <c r="C32" s="154" t="s">
        <v>302</v>
      </c>
      <c r="D32" s="154" t="s">
        <v>303</v>
      </c>
      <c r="E32" s="85" t="s">
        <v>304</v>
      </c>
      <c r="F32" s="64" t="s">
        <v>286</v>
      </c>
      <c r="G32" s="153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0.23255813469116182</v>
      </c>
      <c r="G33" s="67">
        <f>+E33*F33</f>
        <v>54905.05999999999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0.23256189984226383</v>
      </c>
      <c r="G34" s="67">
        <f>+E34*F34</f>
        <v>21320.733910613741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76225.793910613735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86388.373301675092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65"/>
      <c r="C41" s="165"/>
      <c r="D41" s="165"/>
      <c r="E41" s="166"/>
      <c r="F41" s="166" t="s">
        <v>308</v>
      </c>
      <c r="G41" s="165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12958.255995251264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4319.4186650837546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4319.4186650837546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21597.093325418773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107985</v>
      </c>
    </row>
  </sheetData>
  <mergeCells count="1">
    <mergeCell ref="A3:C4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K32" sqref="K3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540</v>
      </c>
      <c r="H7" s="23"/>
    </row>
    <row r="8" spans="1:8">
      <c r="A8" s="22" t="s">
        <v>541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10242.830555951172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48809.500555951163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0.31250001731673049</v>
      </c>
      <c r="G34" s="67">
        <f>+E34*F34</f>
        <v>73778.679999999993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0.31250384615384613</v>
      </c>
      <c r="G35" s="67">
        <f>+E35*F35</f>
        <v>28649.625559511722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102428.30555951172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151237.80611546288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22685.670917319432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7561.8903057731441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7561.8903057731441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37809.45152886572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189047</v>
      </c>
    </row>
  </sheetData>
  <mergeCells count="1">
    <mergeCell ref="A3:C4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K28" sqref="K2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543</v>
      </c>
      <c r="H7" s="23"/>
    </row>
    <row r="8" spans="1:8">
      <c r="A8" s="22" t="s">
        <v>544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11706.052000000005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50272.721999999994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0.35714287088249047</v>
      </c>
      <c r="G34" s="67">
        <f>+E34*F34</f>
        <v>84318.490000000034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0.35714289824243706</v>
      </c>
      <c r="G35" s="67">
        <f>+E35*F35</f>
        <v>32742.030000000013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117060.52000000005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167333.24200000003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25099.986300000004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8366.6621000000014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8366.6621000000014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41833.310500000007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209167</v>
      </c>
    </row>
  </sheetData>
  <mergeCells count="1">
    <mergeCell ref="A3:C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47"/>
  <sheetViews>
    <sheetView workbookViewId="0">
      <selection activeCell="I15" sqref="I15"/>
    </sheetView>
  </sheetViews>
  <sheetFormatPr baseColWidth="10" defaultRowHeight="14.4"/>
  <sheetData>
    <row r="1" spans="1:8" ht="15" thickBot="1">
      <c r="A1" s="2"/>
      <c r="B1" s="2"/>
      <c r="C1" s="2"/>
      <c r="D1" s="2"/>
      <c r="E1" s="2"/>
      <c r="F1" s="2"/>
      <c r="G1" s="2"/>
      <c r="H1" s="2"/>
    </row>
    <row r="2" spans="1:8">
      <c r="A2" s="1197" t="s">
        <v>317</v>
      </c>
      <c r="B2" s="1198"/>
      <c r="C2" s="1199"/>
      <c r="D2" s="17"/>
      <c r="E2" s="18"/>
      <c r="F2" s="17"/>
      <c r="G2" s="17"/>
      <c r="H2" s="19"/>
    </row>
    <row r="3" spans="1:8">
      <c r="A3" s="1200"/>
      <c r="B3" s="1201"/>
      <c r="C3" s="1202"/>
      <c r="D3" s="20"/>
      <c r="E3" s="13" t="s">
        <v>281</v>
      </c>
      <c r="F3" s="20"/>
      <c r="G3" s="20"/>
      <c r="H3" s="21"/>
    </row>
    <row r="4" spans="1:8" ht="15" thickBot="1">
      <c r="A4" s="1203" t="s">
        <v>318</v>
      </c>
      <c r="B4" s="1204"/>
      <c r="C4" s="1205"/>
      <c r="D4" s="1182"/>
      <c r="E4" s="1183"/>
      <c r="F4" s="1183"/>
      <c r="G4" s="1183"/>
      <c r="H4" s="1184"/>
    </row>
    <row r="5" spans="1:8">
      <c r="A5" s="22"/>
      <c r="B5" s="23"/>
      <c r="C5" s="23"/>
      <c r="D5" s="23"/>
      <c r="E5" s="23"/>
      <c r="F5" s="23"/>
      <c r="G5" s="23"/>
      <c r="H5" s="23"/>
    </row>
    <row r="6" spans="1:8">
      <c r="A6" s="22" t="s">
        <v>319</v>
      </c>
      <c r="B6" s="24"/>
      <c r="C6" s="23"/>
      <c r="D6" s="2"/>
      <c r="E6" s="24"/>
      <c r="F6" s="2"/>
      <c r="G6" s="24" t="s">
        <v>338</v>
      </c>
      <c r="H6" s="23"/>
    </row>
    <row r="7" spans="1:8">
      <c r="A7" s="22" t="s">
        <v>334</v>
      </c>
      <c r="B7" s="24"/>
      <c r="C7" s="23"/>
      <c r="D7" s="24"/>
      <c r="E7" s="24"/>
      <c r="F7" s="24"/>
      <c r="G7" s="24" t="s">
        <v>1294</v>
      </c>
      <c r="H7" s="23"/>
    </row>
    <row r="8" spans="1:8">
      <c r="A8" s="24"/>
      <c r="B8" s="24"/>
      <c r="C8" s="23"/>
      <c r="D8" s="24"/>
      <c r="E8" s="24"/>
      <c r="F8" s="24"/>
      <c r="G8" s="24"/>
      <c r="H8" s="23"/>
    </row>
    <row r="9" spans="1:8" ht="15" thickBot="1">
      <c r="A9" s="25" t="s">
        <v>282</v>
      </c>
      <c r="B9" s="25"/>
      <c r="C9" s="23"/>
      <c r="D9" s="23"/>
      <c r="E9" s="23"/>
      <c r="F9" s="23"/>
      <c r="G9" s="23"/>
      <c r="H9" s="23"/>
    </row>
    <row r="10" spans="1:8">
      <c r="A10" s="1185" t="s">
        <v>283</v>
      </c>
      <c r="B10" s="1186"/>
      <c r="C10" s="1187"/>
      <c r="D10" s="110" t="s">
        <v>284</v>
      </c>
      <c r="E10" s="27" t="s">
        <v>285</v>
      </c>
      <c r="F10" s="110" t="s">
        <v>286</v>
      </c>
      <c r="G10" s="109" t="s">
        <v>287</v>
      </c>
      <c r="H10" s="29"/>
    </row>
    <row r="11" spans="1:8">
      <c r="A11" s="1188" t="s">
        <v>6</v>
      </c>
      <c r="B11" s="1189"/>
      <c r="C11" s="1190"/>
      <c r="D11" s="30"/>
      <c r="E11" s="31">
        <f>'EQUIPOS '!D14</f>
        <v>115700</v>
      </c>
      <c r="F11" s="31">
        <v>4.7534140017285509E-2</v>
      </c>
      <c r="G11" s="33">
        <f>+E11*F11</f>
        <v>5499.6999999999334</v>
      </c>
      <c r="H11" s="34"/>
    </row>
    <row r="12" spans="1:8">
      <c r="A12" s="1191"/>
      <c r="B12" s="1192"/>
      <c r="C12" s="1193"/>
      <c r="D12" s="35"/>
      <c r="E12" s="36"/>
      <c r="F12" s="37"/>
      <c r="G12" s="33"/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SUM(G11:G16)</f>
        <v>5499.6999999999334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12" t="s">
        <v>291</v>
      </c>
      <c r="E19" s="112" t="s">
        <v>292</v>
      </c>
      <c r="F19" s="112" t="s">
        <v>293</v>
      </c>
      <c r="G19" s="111" t="s">
        <v>287</v>
      </c>
      <c r="H19" s="29"/>
    </row>
    <row r="20" spans="1:8" ht="24.75" customHeight="1">
      <c r="A20" s="1215" t="s">
        <v>265</v>
      </c>
      <c r="B20" s="1207"/>
      <c r="C20" s="1208"/>
      <c r="D20" s="30" t="s">
        <v>9</v>
      </c>
      <c r="E20" s="483">
        <f>MATERIALES!E35</f>
        <v>3571.4285714285716</v>
      </c>
      <c r="F20" s="115">
        <v>1</v>
      </c>
      <c r="G20" s="33">
        <f>E20*F20</f>
        <v>3571.4285714285716</v>
      </c>
      <c r="H20" s="34"/>
    </row>
    <row r="21" spans="1:8">
      <c r="A21" s="93"/>
      <c r="B21" s="88"/>
      <c r="C21" s="88"/>
      <c r="D21" s="94"/>
      <c r="E21" s="99"/>
      <c r="F21" s="95"/>
      <c r="G21" s="114"/>
      <c r="H21" s="34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3571.4285714285716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878" t="s">
        <v>297</v>
      </c>
      <c r="E26" s="27" t="s">
        <v>285</v>
      </c>
      <c r="F26" s="878" t="s">
        <v>286</v>
      </c>
      <c r="G26" s="56" t="s">
        <v>287</v>
      </c>
      <c r="H26" s="29"/>
    </row>
    <row r="27" spans="1:8">
      <c r="A27" s="45" t="s">
        <v>1602</v>
      </c>
      <c r="B27" s="46"/>
      <c r="C27" s="899">
        <v>1</v>
      </c>
      <c r="D27" s="900">
        <v>16</v>
      </c>
      <c r="E27" s="59">
        <f>+'EQUIPOS '!D19</f>
        <v>57709</v>
      </c>
      <c r="F27" s="416">
        <v>2.5000000000000001E-2</v>
      </c>
      <c r="G27" s="31">
        <f>D27*E27*F27</f>
        <v>23083.600000000002</v>
      </c>
      <c r="H27" s="34"/>
    </row>
    <row r="28" spans="1:8">
      <c r="A28" s="45"/>
      <c r="B28" s="46"/>
      <c r="C28" s="60"/>
      <c r="D28" s="30"/>
      <c r="E28" s="61"/>
      <c r="F28" s="31"/>
      <c r="G28" s="31"/>
      <c r="H28" s="34"/>
    </row>
    <row r="29" spans="1:8" ht="15" thickBot="1">
      <c r="A29" s="62"/>
      <c r="B29" s="63"/>
      <c r="C29" s="38"/>
      <c r="D29" s="39"/>
      <c r="E29" s="40"/>
      <c r="F29" s="4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23083.600000000002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10" t="s">
        <v>302</v>
      </c>
      <c r="D32" s="110" t="s">
        <v>303</v>
      </c>
      <c r="E32" s="85" t="s">
        <v>304</v>
      </c>
      <c r="F32" s="64" t="s">
        <v>286</v>
      </c>
      <c r="G32" s="109" t="s">
        <v>287</v>
      </c>
      <c r="H32" s="29"/>
    </row>
    <row r="33" spans="1:8">
      <c r="A33" s="45"/>
      <c r="B33" s="46"/>
      <c r="C33" s="65"/>
      <c r="D33" s="84"/>
      <c r="E33" s="31"/>
      <c r="F33" s="31"/>
      <c r="G33" s="67"/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53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0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32154.728571428506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12" t="s">
        <v>308</v>
      </c>
      <c r="G41" s="111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4823.2092857142761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1607.7364285714254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(SALARIOS!C45)</f>
        <v>0.05</v>
      </c>
      <c r="G44" s="81">
        <f>+F44*H39</f>
        <v>1607.7364285714254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8038.6821428571275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40193</v>
      </c>
    </row>
  </sheetData>
  <mergeCells count="14">
    <mergeCell ref="A12:C12"/>
    <mergeCell ref="A2:C3"/>
    <mergeCell ref="A4:C4"/>
    <mergeCell ref="D4:H4"/>
    <mergeCell ref="A10:C10"/>
    <mergeCell ref="A11:C11"/>
    <mergeCell ref="A26:B26"/>
    <mergeCell ref="A32:B32"/>
    <mergeCell ref="A13:C13"/>
    <mergeCell ref="A14:C14"/>
    <mergeCell ref="A15:C15"/>
    <mergeCell ref="A16:C16"/>
    <mergeCell ref="A19:C19"/>
    <mergeCell ref="A20:C20"/>
  </mergeCells>
  <pageMargins left="0.7" right="0.7" top="0.75" bottom="0.75" header="0.3" footer="0.3"/>
  <pageSetup paperSize="9" scale="90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J29" sqref="J2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545</v>
      </c>
      <c r="H7" s="23"/>
    </row>
    <row r="8" spans="1:8">
      <c r="A8" s="22" t="s">
        <v>546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13657.060000000005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52223.729999999996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0.41666667563683685</v>
      </c>
      <c r="G34" s="67">
        <f>+E34*F34</f>
        <v>98371.570000000036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0.41666666007727049</v>
      </c>
      <c r="G35" s="67">
        <f>+E35*F35</f>
        <v>38199.029999999992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136570.60000000003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188794.33000000002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28319.149500000003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9439.7165000000005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9439.7165000000005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47198.582500000004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235993</v>
      </c>
    </row>
  </sheetData>
  <mergeCells count="1">
    <mergeCell ref="A3:C4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J30" sqref="J30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547</v>
      </c>
      <c r="H7" s="23"/>
    </row>
    <row r="8" spans="1:8">
      <c r="A8" s="22" t="s">
        <v>548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14567.517492816511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53134.187492816505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0.41666667563683685</v>
      </c>
      <c r="G34" s="67">
        <f>+E34*F34</f>
        <v>98371.570000000036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0.51597737102311914</v>
      </c>
      <c r="G35" s="67">
        <f>+E35*F35</f>
        <v>47303.604928165078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145675.1749281651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198809.3624209816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29821.404363147238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9940.4681210490817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9940.4681210490817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49702.340605245401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248512</v>
      </c>
    </row>
  </sheetData>
  <mergeCells count="1">
    <mergeCell ref="A3:C4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K27" sqref="K27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549</v>
      </c>
      <c r="H7" s="23"/>
    </row>
    <row r="8" spans="1:8">
      <c r="A8" s="22" t="s">
        <v>550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20485.540870961515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59052.210870961506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0.66</v>
      </c>
      <c r="G34" s="67">
        <f>+E34*F34</f>
        <v>155820.56352543132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0.5348613608853392</v>
      </c>
      <c r="G35" s="67">
        <f>+E35*F35</f>
        <v>49034.845184183803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204855.40870961512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263907.6195805766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39586.142937086486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13195.380979028831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13195.380979028831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65976.904895144151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329885</v>
      </c>
    </row>
  </sheetData>
  <mergeCells count="1">
    <mergeCell ref="A3:C4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L40" sqref="L40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551</v>
      </c>
      <c r="H7" s="23"/>
    </row>
    <row r="8" spans="1:8">
      <c r="A8" s="22" t="s">
        <v>553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21851.320539467008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60417.990539466999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0.68259488602504459</v>
      </c>
      <c r="G34" s="67">
        <f>+E34*F34</f>
        <v>161155.03000000003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0.62565042541193983</v>
      </c>
      <c r="G35" s="67">
        <f>+E35*F35</f>
        <v>57358.175394670056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218513.20539467008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278931.1959341371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41839.67939012056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13946.559796706855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13946.559796706855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69732.798983534274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348664</v>
      </c>
    </row>
  </sheetData>
  <mergeCells count="1">
    <mergeCell ref="A3:C4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48"/>
  <sheetViews>
    <sheetView workbookViewId="0">
      <selection activeCell="P31" sqref="P31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554</v>
      </c>
      <c r="H7" s="23"/>
    </row>
    <row r="8" spans="1:8">
      <c r="A8" s="22" t="s">
        <v>552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0.33333336214347442</v>
      </c>
      <c r="G12" s="33">
        <f>+E12*F12</f>
        <v>38566.669999999991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23412.084627220673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61978.754627220667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0.7</v>
      </c>
      <c r="G34" s="67">
        <f>+E34*F34</f>
        <v>165264.23404212412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0.75107285818891878</v>
      </c>
      <c r="G35" s="67">
        <f>+E35*F35</f>
        <v>68856.612230082595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234120.84627220672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296099.60089942737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44414.940134914104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14804.980044971369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14804.980044971369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74024.900224856843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370125</v>
      </c>
    </row>
  </sheetData>
  <mergeCells count="1">
    <mergeCell ref="A3:C4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K42" sqref="K42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555</v>
      </c>
      <c r="H7" s="23"/>
    </row>
    <row r="8" spans="1:8">
      <c r="A8" s="22" t="s">
        <v>557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12139.583151773237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50706.25315177325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0.37037039716892683</v>
      </c>
      <c r="G34" s="67">
        <f>+E34*F34</f>
        <v>87441.4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0.37036750868584767</v>
      </c>
      <c r="G35" s="67">
        <f>+E35*F35</f>
        <v>33954.431517732373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121395.83151773237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172102.08466950562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25815.312700425842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8605.1042334752819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8605.1042334752819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43025.521167376413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215128</v>
      </c>
    </row>
  </sheetData>
  <mergeCells count="1">
    <mergeCell ref="A3:C4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K43" sqref="K43"/>
    </sheetView>
  </sheetViews>
  <sheetFormatPr baseColWidth="10" defaultRowHeight="14.4"/>
  <sheetData>
    <row r="2" spans="1:8" ht="15" thickBot="1"/>
    <row r="3" spans="1:8" ht="15" customHeight="1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556</v>
      </c>
      <c r="H7" s="23"/>
    </row>
    <row r="8" spans="1:8">
      <c r="A8" s="22" t="s">
        <v>560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13110.815119751549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51677.48511975156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0.39999997811474652</v>
      </c>
      <c r="G34" s="67">
        <f>+E34*F34</f>
        <v>94436.7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0.40000416478259815</v>
      </c>
      <c r="G35" s="67">
        <f>+E35*F35</f>
        <v>36671.451197515504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131108.15119751549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182785.63631726705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27417.845447590058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9139.2818158633527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9139.2818158633527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45696.409079316763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228482</v>
      </c>
    </row>
  </sheetData>
  <mergeCells count="1">
    <mergeCell ref="A3:C4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K39" sqref="K3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558</v>
      </c>
      <c r="H7" s="23"/>
    </row>
    <row r="8" spans="1:8">
      <c r="A8" s="22" t="s">
        <v>559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14898.588886340651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53465.258886340664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0.45454546433109461</v>
      </c>
      <c r="G34" s="67">
        <f>+E34*F34</f>
        <v>107314.44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0.45454304516361665</v>
      </c>
      <c r="G35" s="67">
        <f>+E35*F35</f>
        <v>41671.448863406476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148985.88886340649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202451.14774974715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30367.67216246207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10122.557387487359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10122.557387487359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50612.786937436787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253064</v>
      </c>
    </row>
  </sheetData>
  <mergeCells count="1">
    <mergeCell ref="A3:C4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J31" sqref="J3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561</v>
      </c>
      <c r="H7" s="23"/>
    </row>
    <row r="8" spans="1:8">
      <c r="A8" s="22" t="s">
        <v>562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67" t="s">
        <v>6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16388.516308613729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54955.186308613745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0.50000003617805133</v>
      </c>
      <c r="G34" s="67">
        <f>+E34*F34</f>
        <v>118045.89000000001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0.50000475973266134</v>
      </c>
      <c r="G35" s="67">
        <f>+E35*F35</f>
        <v>45839.27308613724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163885.16308613727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218840.34939475101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32826.052409212651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10942.017469737551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10942.017469737551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54710.087348687754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273550</v>
      </c>
    </row>
  </sheetData>
  <mergeCells count="1">
    <mergeCell ref="A3:C4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J48"/>
  <sheetViews>
    <sheetView workbookViewId="0">
      <selection activeCell="F34" sqref="F34:G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563</v>
      </c>
      <c r="H7" s="23"/>
    </row>
    <row r="8" spans="1:8">
      <c r="A8" s="22" t="s">
        <v>564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93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21763.4017311147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60330.071731114716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10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0.65</v>
      </c>
      <c r="G34" s="67">
        <f>+E34*F34</f>
        <v>153459.64589625812</v>
      </c>
      <c r="H34" s="34"/>
      <c r="J34">
        <v>131162.09050962233</v>
      </c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</v>
      </c>
      <c r="G35" s="67">
        <f>+E35*F35</f>
        <v>64174.371414888847</v>
      </c>
      <c r="H35" s="34"/>
      <c r="J35">
        <v>50932.040805467339</v>
      </c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217634.01731114698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277964.08904226171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41694.613356339258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13898.204452113087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13898.204452113087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69491.022260565427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347455</v>
      </c>
    </row>
  </sheetData>
  <mergeCells count="1">
    <mergeCell ref="A3:C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47"/>
  <sheetViews>
    <sheetView topLeftCell="A34" workbookViewId="0">
      <selection activeCell="J27" sqref="J27"/>
    </sheetView>
  </sheetViews>
  <sheetFormatPr baseColWidth="10" defaultRowHeight="14.4"/>
  <sheetData>
    <row r="1" spans="1:8" ht="15" thickBot="1">
      <c r="A1" s="2"/>
      <c r="B1" s="2"/>
      <c r="C1" s="2"/>
      <c r="D1" s="2"/>
      <c r="E1" s="2"/>
      <c r="F1" s="2"/>
      <c r="G1" s="2"/>
      <c r="H1" s="2"/>
    </row>
    <row r="2" spans="1:8">
      <c r="A2" s="1197" t="s">
        <v>317</v>
      </c>
      <c r="B2" s="1198"/>
      <c r="C2" s="1199"/>
      <c r="D2" s="17"/>
      <c r="E2" s="18"/>
      <c r="F2" s="17"/>
      <c r="G2" s="17"/>
      <c r="H2" s="19"/>
    </row>
    <row r="3" spans="1:8">
      <c r="A3" s="1200"/>
      <c r="B3" s="1201"/>
      <c r="C3" s="1202"/>
      <c r="D3" s="20"/>
      <c r="E3" s="13" t="s">
        <v>281</v>
      </c>
      <c r="F3" s="20"/>
      <c r="G3" s="20"/>
      <c r="H3" s="21"/>
    </row>
    <row r="4" spans="1:8" ht="15" thickBot="1">
      <c r="A4" s="1203" t="s">
        <v>318</v>
      </c>
      <c r="B4" s="1204"/>
      <c r="C4" s="1205"/>
      <c r="D4" s="1182"/>
      <c r="E4" s="1183"/>
      <c r="F4" s="1183"/>
      <c r="G4" s="1183"/>
      <c r="H4" s="1184"/>
    </row>
    <row r="5" spans="1:8">
      <c r="A5" s="22"/>
      <c r="B5" s="23"/>
      <c r="C5" s="23"/>
      <c r="D5" s="23"/>
      <c r="E5" s="23"/>
      <c r="F5" s="23"/>
      <c r="G5" s="23"/>
      <c r="H5" s="23"/>
    </row>
    <row r="6" spans="1:8">
      <c r="A6" s="22" t="s">
        <v>319</v>
      </c>
      <c r="B6" s="24"/>
      <c r="C6" s="23"/>
      <c r="D6" s="2"/>
      <c r="E6" s="24"/>
      <c r="F6" s="2"/>
      <c r="G6" s="24" t="s">
        <v>339</v>
      </c>
      <c r="H6" s="23"/>
    </row>
    <row r="7" spans="1:8">
      <c r="A7" s="22" t="s">
        <v>335</v>
      </c>
      <c r="B7" s="24"/>
      <c r="C7" s="23"/>
      <c r="D7" s="24"/>
      <c r="E7" s="24"/>
      <c r="F7" s="24"/>
      <c r="G7" s="24" t="s">
        <v>1294</v>
      </c>
      <c r="H7" s="23"/>
    </row>
    <row r="8" spans="1:8">
      <c r="A8" s="24"/>
      <c r="B8" s="24"/>
      <c r="C8" s="23"/>
      <c r="D8" s="24"/>
      <c r="E8" s="24"/>
      <c r="F8" s="24"/>
      <c r="G8" s="24"/>
      <c r="H8" s="23"/>
    </row>
    <row r="9" spans="1:8" ht="15" thickBot="1">
      <c r="A9" s="25" t="s">
        <v>282</v>
      </c>
      <c r="B9" s="25"/>
      <c r="C9" s="23"/>
      <c r="D9" s="23"/>
      <c r="E9" s="23"/>
      <c r="F9" s="23"/>
      <c r="G9" s="23"/>
      <c r="H9" s="23"/>
    </row>
    <row r="10" spans="1:8">
      <c r="A10" s="1185" t="s">
        <v>283</v>
      </c>
      <c r="B10" s="1186"/>
      <c r="C10" s="1187"/>
      <c r="D10" s="110" t="s">
        <v>284</v>
      </c>
      <c r="E10" s="27" t="s">
        <v>285</v>
      </c>
      <c r="F10" s="110" t="s">
        <v>286</v>
      </c>
      <c r="G10" s="109" t="s">
        <v>287</v>
      </c>
      <c r="H10" s="29"/>
    </row>
    <row r="11" spans="1:8">
      <c r="A11" s="1188" t="s">
        <v>6</v>
      </c>
      <c r="B11" s="1189"/>
      <c r="C11" s="1190"/>
      <c r="D11" s="30"/>
      <c r="E11" s="31">
        <f>'EQUIPOS '!D14</f>
        <v>115700</v>
      </c>
      <c r="F11" s="31">
        <v>4.4125324114090425E-2</v>
      </c>
      <c r="G11" s="33">
        <f>+E11*F11</f>
        <v>5105.3000000002621</v>
      </c>
      <c r="H11" s="34"/>
    </row>
    <row r="12" spans="1:8">
      <c r="A12" s="1191"/>
      <c r="B12" s="1192"/>
      <c r="C12" s="1193"/>
      <c r="D12" s="35"/>
      <c r="E12" s="36"/>
      <c r="F12" s="37"/>
      <c r="G12" s="33"/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SUM(G11:G16)</f>
        <v>5105.3000000002621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12" t="s">
        <v>291</v>
      </c>
      <c r="E19" s="112" t="s">
        <v>292</v>
      </c>
      <c r="F19" s="112" t="s">
        <v>293</v>
      </c>
      <c r="G19" s="111" t="s">
        <v>287</v>
      </c>
      <c r="H19" s="29"/>
    </row>
    <row r="20" spans="1:8" ht="23.25" customHeight="1">
      <c r="A20" s="1215" t="s">
        <v>265</v>
      </c>
      <c r="B20" s="1207"/>
      <c r="C20" s="1208"/>
      <c r="D20" s="30" t="s">
        <v>9</v>
      </c>
      <c r="E20" s="483">
        <f>MATERIALES!E35</f>
        <v>3571.4285714285716</v>
      </c>
      <c r="F20" s="115">
        <v>1</v>
      </c>
      <c r="G20" s="33">
        <f>E20*F20</f>
        <v>3571.4285714285716</v>
      </c>
      <c r="H20" s="34"/>
    </row>
    <row r="21" spans="1:8">
      <c r="A21" s="93"/>
      <c r="B21" s="88"/>
      <c r="C21" s="88"/>
      <c r="D21" s="94"/>
      <c r="E21" s="99"/>
      <c r="F21" s="95"/>
      <c r="G21" s="114"/>
      <c r="H21" s="34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3571.4285714285716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878" t="s">
        <v>297</v>
      </c>
      <c r="E26" s="27" t="s">
        <v>285</v>
      </c>
      <c r="F26" s="878" t="s">
        <v>286</v>
      </c>
      <c r="G26" s="56" t="s">
        <v>287</v>
      </c>
      <c r="H26" s="29"/>
    </row>
    <row r="27" spans="1:8">
      <c r="A27" s="45" t="s">
        <v>1602</v>
      </c>
      <c r="B27" s="46"/>
      <c r="C27" s="899">
        <v>1</v>
      </c>
      <c r="D27" s="900">
        <v>24</v>
      </c>
      <c r="E27" s="59">
        <f>+'EQUIPOS '!D19</f>
        <v>57709</v>
      </c>
      <c r="F27" s="416">
        <v>2.5000000000000001E-2</v>
      </c>
      <c r="G27" s="31">
        <f>D27*E27*F27</f>
        <v>34625.4</v>
      </c>
      <c r="H27" s="34"/>
    </row>
    <row r="28" spans="1:8">
      <c r="A28" s="45"/>
      <c r="B28" s="46"/>
      <c r="C28" s="60"/>
      <c r="D28" s="30"/>
      <c r="E28" s="61"/>
      <c r="F28" s="31"/>
      <c r="G28" s="31"/>
      <c r="H28" s="34"/>
    </row>
    <row r="29" spans="1:8" ht="15" thickBot="1">
      <c r="A29" s="62"/>
      <c r="B29" s="63"/>
      <c r="C29" s="38"/>
      <c r="D29" s="39"/>
      <c r="E29" s="40"/>
      <c r="F29" s="4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34625.4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10" t="s">
        <v>302</v>
      </c>
      <c r="D32" s="110" t="s">
        <v>303</v>
      </c>
      <c r="E32" s="85" t="s">
        <v>304</v>
      </c>
      <c r="F32" s="64" t="s">
        <v>286</v>
      </c>
      <c r="G32" s="109" t="s">
        <v>287</v>
      </c>
      <c r="H32" s="29"/>
    </row>
    <row r="33" spans="1:8">
      <c r="A33" s="45"/>
      <c r="B33" s="46"/>
      <c r="C33" s="65"/>
      <c r="D33" s="84"/>
      <c r="E33" s="31"/>
      <c r="F33" s="31"/>
      <c r="G33" s="67"/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53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0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43302.128571428839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12" t="s">
        <v>308</v>
      </c>
      <c r="G41" s="111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6495.3192857143258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2165.1064285714419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(SALARIOS!C45)</f>
        <v>0.05</v>
      </c>
      <c r="G44" s="81">
        <f>+F44*H39</f>
        <v>2165.1064285714419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10825.53214285721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54128</v>
      </c>
    </row>
  </sheetData>
  <mergeCells count="14">
    <mergeCell ref="A12:C12"/>
    <mergeCell ref="A2:C3"/>
    <mergeCell ref="A4:C4"/>
    <mergeCell ref="D4:H4"/>
    <mergeCell ref="A10:C10"/>
    <mergeCell ref="A11:C11"/>
    <mergeCell ref="A26:B26"/>
    <mergeCell ref="A32:B32"/>
    <mergeCell ref="A13:C13"/>
    <mergeCell ref="A14:C14"/>
    <mergeCell ref="A15:C15"/>
    <mergeCell ref="A16:C16"/>
    <mergeCell ref="A19:C19"/>
    <mergeCell ref="A20:C20"/>
  </mergeCells>
  <pageMargins left="0.7" right="0.7" top="0.75" bottom="0.75" header="0.3" footer="0.3"/>
  <pageSetup paperSize="9" scale="90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F34" sqref="F34:G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565</v>
      </c>
      <c r="H7" s="23"/>
    </row>
    <row r="8" spans="1:8">
      <c r="A8" s="22" t="s">
        <v>566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93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24582.707727537105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63149.377727537118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0.75</v>
      </c>
      <c r="G34" s="67">
        <f>+E34*F34</f>
        <v>177068.82218799012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0.75</v>
      </c>
      <c r="G35" s="67">
        <f>+E35*F35</f>
        <v>68758.255087380909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245827.07727537103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308976.45500290813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46346.468250436221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15448.822750145408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15448.822750145408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77244.113750727032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386221</v>
      </c>
    </row>
  </sheetData>
  <mergeCells count="1">
    <mergeCell ref="A3:C4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H48"/>
  <sheetViews>
    <sheetView workbookViewId="0">
      <selection activeCell="K41" sqref="K4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149</v>
      </c>
      <c r="B7" s="24"/>
      <c r="C7" s="23"/>
      <c r="D7" s="2"/>
      <c r="E7" s="24"/>
      <c r="F7" s="2"/>
      <c r="G7" s="24" t="s">
        <v>567</v>
      </c>
      <c r="H7" s="23"/>
    </row>
    <row r="8" spans="1:8">
      <c r="A8" s="22" t="s">
        <v>568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93" t="s">
        <v>128</v>
      </c>
      <c r="B12" s="168"/>
      <c r="C12" s="169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26221.554909372913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>
      <c r="A16" s="155"/>
      <c r="B16" s="156"/>
      <c r="C16" s="157"/>
      <c r="D16" s="35"/>
      <c r="E16" s="36"/>
      <c r="F16" s="31"/>
      <c r="G16" s="33"/>
      <c r="H16" s="34"/>
    </row>
    <row r="17" spans="1:8" ht="15" thickBot="1">
      <c r="A17" s="158"/>
      <c r="B17" s="159"/>
      <c r="C17" s="160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64788.224909372926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64" t="s">
        <v>283</v>
      </c>
      <c r="B20" s="165"/>
      <c r="C20" s="166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52" t="s">
        <v>295</v>
      </c>
      <c r="B27" s="154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 t="s">
        <v>542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52" t="s">
        <v>301</v>
      </c>
      <c r="B33" s="154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0.8</v>
      </c>
      <c r="G34" s="67">
        <f>+E34*F34</f>
        <v>188873.41033385615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0.8</v>
      </c>
      <c r="G35" s="67">
        <f>+E35*F35</f>
        <v>73342.138759872978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262215.54909372912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327003.77400310204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65"/>
      <c r="C42" s="165"/>
      <c r="D42" s="165"/>
      <c r="E42" s="166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49050.566100465301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16350.188700155102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16350.188700155102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81750.943500775509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408755</v>
      </c>
    </row>
  </sheetData>
  <mergeCells count="1">
    <mergeCell ref="A3:C4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N35" sqref="N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1142</v>
      </c>
      <c r="B7" s="1235"/>
      <c r="C7" s="1235"/>
      <c r="D7" s="1235"/>
      <c r="E7" s="1235"/>
      <c r="F7" s="2"/>
      <c r="G7" s="24" t="s">
        <v>569</v>
      </c>
      <c r="H7" s="23"/>
    </row>
    <row r="8" spans="1:8">
      <c r="A8" s="22" t="s">
        <v>492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10242.830555951172</v>
      </c>
      <c r="H12" s="34"/>
    </row>
    <row r="13" spans="1:8">
      <c r="A13" s="581" t="s">
        <v>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 ht="15" thickBot="1">
      <c r="A16" s="158"/>
      <c r="B16" s="159"/>
      <c r="C16" s="160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48809.500555951163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64" t="s">
        <v>283</v>
      </c>
      <c r="B19" s="165"/>
      <c r="C19" s="166"/>
      <c r="D19" s="166" t="s">
        <v>291</v>
      </c>
      <c r="E19" s="166" t="s">
        <v>292</v>
      </c>
      <c r="F19" s="166" t="s">
        <v>293</v>
      </c>
      <c r="G19" s="165" t="s">
        <v>287</v>
      </c>
      <c r="H19" s="29"/>
    </row>
    <row r="20" spans="1:8">
      <c r="A20" s="86" t="s">
        <v>571</v>
      </c>
      <c r="B20" s="46"/>
      <c r="C20" s="47"/>
      <c r="D20" s="100" t="s">
        <v>41</v>
      </c>
      <c r="E20" s="98">
        <f>+MATERIALES!E171</f>
        <v>379804.8</v>
      </c>
      <c r="F20" s="122">
        <v>1</v>
      </c>
      <c r="G20" s="96">
        <f>+E20*F20</f>
        <v>379804.8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379804.8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52" t="s">
        <v>295</v>
      </c>
      <c r="B26" s="154"/>
      <c r="C26" s="55" t="s">
        <v>296</v>
      </c>
      <c r="D26" s="154" t="s">
        <v>297</v>
      </c>
      <c r="E26" s="154" t="s">
        <v>298</v>
      </c>
      <c r="F26" s="154" t="s">
        <v>299</v>
      </c>
      <c r="G26" s="56" t="s">
        <v>287</v>
      </c>
      <c r="H26" s="29"/>
    </row>
    <row r="27" spans="1:8">
      <c r="A27" s="45" t="s">
        <v>542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52" t="s">
        <v>301</v>
      </c>
      <c r="B32" s="154"/>
      <c r="C32" s="154" t="s">
        <v>302</v>
      </c>
      <c r="D32" s="154" t="s">
        <v>303</v>
      </c>
      <c r="E32" s="85" t="s">
        <v>304</v>
      </c>
      <c r="F32" s="64" t="s">
        <v>286</v>
      </c>
      <c r="G32" s="153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0.31250001731673049</v>
      </c>
      <c r="G33" s="67">
        <f>+E33*F33</f>
        <v>73778.679999999993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0.31250384615384613</v>
      </c>
      <c r="G34" s="67">
        <f>+E34*F34</f>
        <v>28649.625559511722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102428.30555951172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531042.60611546284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65"/>
      <c r="C41" s="165"/>
      <c r="D41" s="165"/>
      <c r="E41" s="166"/>
      <c r="F41" s="166" t="s">
        <v>308</v>
      </c>
      <c r="G41" s="165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79656.390917319426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26552.130305773142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26552.130305773142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132760.65152886571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663803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N50" sqref="N5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61" t="s">
        <v>318</v>
      </c>
      <c r="B5" s="162"/>
      <c r="C5" s="163"/>
      <c r="D5" s="149"/>
      <c r="E5" s="150"/>
      <c r="F5" s="150"/>
      <c r="G5" s="150"/>
      <c r="H5" s="15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1142</v>
      </c>
      <c r="B7" s="1235"/>
      <c r="C7" s="1235"/>
      <c r="D7" s="1235"/>
      <c r="E7" s="1235"/>
      <c r="F7" s="2"/>
      <c r="G7" s="24" t="s">
        <v>570</v>
      </c>
      <c r="H7" s="23"/>
    </row>
    <row r="8" spans="1:8">
      <c r="A8" s="22" t="s">
        <v>574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52" t="s">
        <v>283</v>
      </c>
      <c r="B11" s="153"/>
      <c r="C11" s="154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11706.052000000005</v>
      </c>
      <c r="H12" s="34"/>
    </row>
    <row r="13" spans="1:8">
      <c r="A13" s="581" t="s">
        <v>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55"/>
      <c r="B14" s="156"/>
      <c r="C14" s="157"/>
      <c r="D14" s="35"/>
      <c r="E14" s="36"/>
      <c r="F14" s="31"/>
      <c r="G14" s="33"/>
      <c r="H14" s="34"/>
    </row>
    <row r="15" spans="1:8">
      <c r="A15" s="155"/>
      <c r="B15" s="156"/>
      <c r="C15" s="157"/>
      <c r="D15" s="35"/>
      <c r="E15" s="36"/>
      <c r="F15" s="31"/>
      <c r="G15" s="33"/>
      <c r="H15" s="34"/>
    </row>
    <row r="16" spans="1:8" ht="15" thickBot="1">
      <c r="A16" s="158"/>
      <c r="B16" s="159"/>
      <c r="C16" s="160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50272.721999999994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64" t="s">
        <v>283</v>
      </c>
      <c r="B19" s="165"/>
      <c r="C19" s="166"/>
      <c r="D19" s="166" t="s">
        <v>291</v>
      </c>
      <c r="E19" s="166" t="s">
        <v>292</v>
      </c>
      <c r="F19" s="166" t="s">
        <v>293</v>
      </c>
      <c r="G19" s="165" t="s">
        <v>287</v>
      </c>
      <c r="H19" s="29"/>
    </row>
    <row r="20" spans="1:8">
      <c r="A20" s="86" t="s">
        <v>572</v>
      </c>
      <c r="B20" s="46"/>
      <c r="C20" s="47"/>
      <c r="D20" s="100" t="s">
        <v>41</v>
      </c>
      <c r="E20" s="98">
        <f>+MATERIALES!E174</f>
        <v>489566</v>
      </c>
      <c r="F20" s="122">
        <v>1</v>
      </c>
      <c r="G20" s="96">
        <f>+E20*F20</f>
        <v>489566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489566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52" t="s">
        <v>295</v>
      </c>
      <c r="B26" s="154"/>
      <c r="C26" s="55" t="s">
        <v>296</v>
      </c>
      <c r="D26" s="154" t="s">
        <v>297</v>
      </c>
      <c r="E26" s="154" t="s">
        <v>298</v>
      </c>
      <c r="F26" s="154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52" t="s">
        <v>301</v>
      </c>
      <c r="B32" s="154"/>
      <c r="C32" s="154" t="s">
        <v>302</v>
      </c>
      <c r="D32" s="154" t="s">
        <v>303</v>
      </c>
      <c r="E32" s="85" t="s">
        <v>304</v>
      </c>
      <c r="F32" s="64" t="s">
        <v>286</v>
      </c>
      <c r="G32" s="153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0.35714287088249047</v>
      </c>
      <c r="G33" s="67">
        <f>+E33*F33</f>
        <v>84318.490000000034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0.35714289824243706</v>
      </c>
      <c r="G34" s="67">
        <f>+E34*F34</f>
        <v>32742.030000000013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117060.52000000005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656899.24199999997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65"/>
      <c r="C41" s="165"/>
      <c r="D41" s="165"/>
      <c r="E41" s="166"/>
      <c r="F41" s="166" t="s">
        <v>308</v>
      </c>
      <c r="G41" s="165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98534.886299999998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32844.962099999997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32844.962099999997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164224.81049999999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821124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M37" sqref="M3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1" customHeight="1">
      <c r="A7" s="1235" t="s">
        <v>1142</v>
      </c>
      <c r="B7" s="1235"/>
      <c r="C7" s="1235"/>
      <c r="D7" s="1235"/>
      <c r="E7" s="1235"/>
      <c r="F7" s="2"/>
      <c r="G7" s="24" t="s">
        <v>573</v>
      </c>
      <c r="H7" s="23"/>
    </row>
    <row r="8" spans="1:8">
      <c r="A8" s="22" t="s">
        <v>575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13657.060000000005</v>
      </c>
      <c r="H12" s="34"/>
    </row>
    <row r="13" spans="1:8">
      <c r="A13" s="581" t="s">
        <v>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52223.729999999996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189" t="s">
        <v>293</v>
      </c>
      <c r="G19" s="188" t="s">
        <v>287</v>
      </c>
      <c r="H19" s="29"/>
    </row>
    <row r="20" spans="1:8">
      <c r="A20" s="86" t="s">
        <v>576</v>
      </c>
      <c r="B20" s="46"/>
      <c r="C20" s="47"/>
      <c r="D20" s="100" t="s">
        <v>41</v>
      </c>
      <c r="E20" s="98">
        <f>+MATERIALES!E175</f>
        <v>500000</v>
      </c>
      <c r="F20" s="122">
        <v>1</v>
      </c>
      <c r="G20" s="96">
        <f>+E20*F20</f>
        <v>500000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500000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0.41666667563683685</v>
      </c>
      <c r="G33" s="67">
        <f>+E33*F33</f>
        <v>98371.570000000036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0.41666666007727049</v>
      </c>
      <c r="G34" s="67">
        <f>+E34*F34</f>
        <v>38199.029999999992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136570.60000000003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688794.33000000007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103319.14950000001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34439.716500000002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34439.716500000002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172198.58250000002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860993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Q44" sqref="Q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3.25" customHeight="1">
      <c r="A7" s="1235" t="s">
        <v>1142</v>
      </c>
      <c r="B7" s="1235"/>
      <c r="C7" s="1235"/>
      <c r="D7" s="1235"/>
      <c r="E7" s="1235"/>
      <c r="F7" s="2"/>
      <c r="G7" s="24" t="s">
        <v>577</v>
      </c>
      <c r="H7" s="23"/>
    </row>
    <row r="8" spans="1:8">
      <c r="A8" s="22" t="s">
        <v>578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14567.517492816511</v>
      </c>
      <c r="H12" s="34"/>
    </row>
    <row r="13" spans="1:8">
      <c r="A13" s="581" t="s">
        <v>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53134.187492816505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189" t="s">
        <v>293</v>
      </c>
      <c r="G19" s="188" t="s">
        <v>287</v>
      </c>
      <c r="H19" s="29"/>
    </row>
    <row r="20" spans="1:8">
      <c r="A20" s="86" t="s">
        <v>584</v>
      </c>
      <c r="B20" s="46"/>
      <c r="C20" s="47"/>
      <c r="D20" s="100" t="s">
        <v>41</v>
      </c>
      <c r="E20" s="98">
        <f>+MATERIALES!E177</f>
        <v>766728.9</v>
      </c>
      <c r="F20" s="122">
        <v>1</v>
      </c>
      <c r="G20" s="96">
        <f>+E20*F20</f>
        <v>766728.9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766728.9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0.41666667563683685</v>
      </c>
      <c r="G33" s="67">
        <f>+E33*F33</f>
        <v>98371.570000000036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0.51597737102311914</v>
      </c>
      <c r="G34" s="67">
        <f>+E34*F34</f>
        <v>47303.604928165078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145675.1749281651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965538.26242098166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144830.73936314724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48276.913121049089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48276.913121049089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241384.56560524541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1206923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O40" sqref="O4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579</v>
      </c>
      <c r="H7" s="23"/>
    </row>
    <row r="8" spans="1:8">
      <c r="A8" s="22" t="s">
        <v>580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20485.540870961515</v>
      </c>
      <c r="H12" s="34"/>
    </row>
    <row r="13" spans="1:8">
      <c r="A13" s="581" t="s">
        <v>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59052.210870961506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189" t="s">
        <v>293</v>
      </c>
      <c r="G19" s="188" t="s">
        <v>287</v>
      </c>
      <c r="H19" s="29"/>
    </row>
    <row r="20" spans="1:8">
      <c r="A20" s="86" t="s">
        <v>583</v>
      </c>
      <c r="B20" s="46"/>
      <c r="C20" s="47"/>
      <c r="D20" s="100" t="s">
        <v>41</v>
      </c>
      <c r="E20" s="98">
        <f>+MATERIALES!E178</f>
        <v>937862.8</v>
      </c>
      <c r="F20" s="122">
        <v>1</v>
      </c>
      <c r="G20" s="96">
        <f>+E20*F20</f>
        <v>937862.8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937862.8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0.66</v>
      </c>
      <c r="G33" s="67">
        <f>+E33*F33</f>
        <v>155820.56352543132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0.5348613608853392</v>
      </c>
      <c r="G34" s="67">
        <f>+E34*F34</f>
        <v>49034.845184183803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204855.40870961512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1201770.4195805767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180265.56293708651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60088.520979028835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60088.520979028835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300442.60489514418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1502213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L31" sqref="L3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1142</v>
      </c>
      <c r="B7" s="1235"/>
      <c r="C7" s="1235"/>
      <c r="D7" s="1235"/>
      <c r="E7" s="1235"/>
      <c r="F7" s="2"/>
      <c r="G7" s="24" t="s">
        <v>581</v>
      </c>
      <c r="H7" s="23"/>
    </row>
    <row r="8" spans="1:8">
      <c r="A8" s="22" t="s">
        <v>582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21851.320539467008</v>
      </c>
      <c r="H12" s="34"/>
    </row>
    <row r="13" spans="1:8">
      <c r="A13" s="581" t="s">
        <v>1146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60417.990539466999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189" t="s">
        <v>293</v>
      </c>
      <c r="G19" s="188" t="s">
        <v>287</v>
      </c>
      <c r="H19" s="29"/>
    </row>
    <row r="20" spans="1:8">
      <c r="A20" s="86" t="s">
        <v>588</v>
      </c>
      <c r="B20" s="46"/>
      <c r="C20" s="47"/>
      <c r="D20" s="100" t="s">
        <v>41</v>
      </c>
      <c r="E20" s="98">
        <f>+MATERIALES!E179</f>
        <v>1074474.8</v>
      </c>
      <c r="F20" s="122">
        <v>1</v>
      </c>
      <c r="G20" s="96">
        <f>+E20*F20</f>
        <v>1074474.8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1074474.8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0.68259488602504459</v>
      </c>
      <c r="G33" s="67">
        <f>+E33*F33</f>
        <v>161155.03000000003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0.62565042541193983</v>
      </c>
      <c r="G34" s="67">
        <f>+E34*F34</f>
        <v>57358.175394670056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218513.20539467008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1353405.9959341371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203010.89939012055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67670.299796706866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67670.299796706866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338351.49898353429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1691757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H47"/>
  <sheetViews>
    <sheetView workbookViewId="0">
      <selection activeCell="L38" sqref="L3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1" customHeight="1">
      <c r="A7" s="1235" t="s">
        <v>1142</v>
      </c>
      <c r="B7" s="1235"/>
      <c r="C7" s="1235"/>
      <c r="D7" s="1235"/>
      <c r="E7" s="1235"/>
      <c r="F7" s="2"/>
      <c r="G7" s="24" t="s">
        <v>585</v>
      </c>
      <c r="H7" s="23"/>
    </row>
    <row r="8" spans="1:8">
      <c r="A8" s="22" t="s">
        <v>586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23412.084627220673</v>
      </c>
      <c r="H12" s="34"/>
    </row>
    <row r="13" spans="1:8">
      <c r="A13" s="581" t="s">
        <v>1146</v>
      </c>
      <c r="B13" s="582"/>
      <c r="C13" s="583"/>
      <c r="D13" s="30" t="s">
        <v>5</v>
      </c>
      <c r="E13" s="48">
        <f>+'EQUIPOS '!D14</f>
        <v>115700</v>
      </c>
      <c r="F13" s="120">
        <v>0.33333336214347442</v>
      </c>
      <c r="G13" s="33">
        <f>+E13*F13</f>
        <v>38566.669999999991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61978.754627220667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189" t="s">
        <v>293</v>
      </c>
      <c r="G19" s="188" t="s">
        <v>287</v>
      </c>
      <c r="H19" s="29"/>
    </row>
    <row r="20" spans="1:8">
      <c r="A20" s="86" t="s">
        <v>587</v>
      </c>
      <c r="B20" s="46"/>
      <c r="C20" s="47"/>
      <c r="D20" s="100" t="s">
        <v>41</v>
      </c>
      <c r="E20" s="98">
        <f>+MATERIALES!E180</f>
        <v>1259400.8</v>
      </c>
      <c r="F20" s="122">
        <v>1</v>
      </c>
      <c r="G20" s="96">
        <f>+E20*F20</f>
        <v>1259400.8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1259400.8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0.7</v>
      </c>
      <c r="G33" s="67">
        <f>+E33*F33</f>
        <v>165264.23404212412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0.75107285818891878</v>
      </c>
      <c r="G34" s="67">
        <f>+E34*F34</f>
        <v>68856.612230082595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234120.84627220672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1555500.4008994272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233325.06013491409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77775.020044971359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77775.020044971359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388875.10022485681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1944376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.75" customHeight="1">
      <c r="A7" s="1235" t="s">
        <v>1142</v>
      </c>
      <c r="B7" s="1235"/>
      <c r="C7" s="1235"/>
      <c r="D7" s="1235"/>
      <c r="E7" s="1235"/>
      <c r="F7" s="2"/>
      <c r="G7" s="24" t="s">
        <v>589</v>
      </c>
      <c r="H7" s="23"/>
    </row>
    <row r="8" spans="1:8">
      <c r="A8" s="22" t="s">
        <v>519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12139.583151773237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50706.25315177325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590</v>
      </c>
      <c r="B21" s="46"/>
      <c r="C21" s="47"/>
      <c r="D21" s="100" t="s">
        <v>41</v>
      </c>
      <c r="E21" s="98">
        <f>+MATERIALES!E171</f>
        <v>379804.8</v>
      </c>
      <c r="F21" s="122">
        <v>1</v>
      </c>
      <c r="G21" s="96">
        <f>+E21*F21</f>
        <v>379804.8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379804.8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0.37037039716892683</v>
      </c>
      <c r="G34" s="67">
        <f>+E34*F34</f>
        <v>87441.4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0.37036750868584767</v>
      </c>
      <c r="G35" s="67">
        <f>+E35*F35</f>
        <v>33954.431517732373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121395.83151773237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551906.88466950564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82786.032700425843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27595.344233475284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27595.344233475284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137976.72116737641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689884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45"/>
  <sheetViews>
    <sheetView topLeftCell="A13" zoomScaleNormal="100" workbookViewId="0">
      <selection activeCell="F31" sqref="F31"/>
    </sheetView>
  </sheetViews>
  <sheetFormatPr baseColWidth="10" defaultRowHeight="14.4"/>
  <cols>
    <col min="3" max="3" width="15.5546875" customWidth="1"/>
  </cols>
  <sheetData>
    <row r="1" spans="1:8">
      <c r="A1" s="1197" t="s">
        <v>317</v>
      </c>
      <c r="B1" s="1198"/>
      <c r="C1" s="1199"/>
      <c r="D1" s="17"/>
      <c r="E1" s="18"/>
      <c r="F1" s="17"/>
      <c r="G1" s="17"/>
      <c r="H1" s="19"/>
    </row>
    <row r="2" spans="1:8">
      <c r="A2" s="1200"/>
      <c r="B2" s="1201"/>
      <c r="C2" s="1202"/>
      <c r="D2" s="20"/>
      <c r="E2" s="13" t="s">
        <v>281</v>
      </c>
      <c r="F2" s="20"/>
      <c r="G2" s="20"/>
      <c r="H2" s="21"/>
    </row>
    <row r="3" spans="1:8" ht="15" thickBot="1">
      <c r="A3" s="1203" t="s">
        <v>318</v>
      </c>
      <c r="B3" s="1204"/>
      <c r="C3" s="1205"/>
      <c r="D3" s="1182"/>
      <c r="E3" s="1183"/>
      <c r="F3" s="1183"/>
      <c r="G3" s="1183"/>
      <c r="H3" s="1184"/>
    </row>
    <row r="4" spans="1:8">
      <c r="A4" s="22"/>
      <c r="B4" s="23"/>
      <c r="C4" s="23"/>
      <c r="D4" s="23"/>
      <c r="E4" s="23"/>
      <c r="F4" s="23"/>
      <c r="G4" s="23"/>
      <c r="H4" s="23"/>
    </row>
    <row r="5" spans="1:8">
      <c r="A5" s="22" t="s">
        <v>319</v>
      </c>
      <c r="B5" s="24"/>
      <c r="C5" s="23"/>
      <c r="D5" s="2"/>
      <c r="E5" s="24"/>
      <c r="F5" s="2"/>
      <c r="G5" s="24" t="s">
        <v>340</v>
      </c>
      <c r="H5" s="23"/>
    </row>
    <row r="6" spans="1:8">
      <c r="A6" s="22" t="s">
        <v>1595</v>
      </c>
      <c r="B6" s="24"/>
      <c r="C6" s="23"/>
      <c r="D6" s="24"/>
      <c r="E6" s="24"/>
      <c r="F6" s="24"/>
      <c r="G6" s="24" t="s">
        <v>1294</v>
      </c>
      <c r="H6" s="23"/>
    </row>
    <row r="7" spans="1:8">
      <c r="A7" s="24"/>
      <c r="B7" s="24"/>
      <c r="C7" s="23"/>
      <c r="D7" s="24"/>
      <c r="E7" s="24"/>
      <c r="F7" s="24"/>
      <c r="G7" s="24"/>
      <c r="H7" s="23"/>
    </row>
    <row r="8" spans="1:8" ht="15" thickBot="1">
      <c r="A8" s="25" t="s">
        <v>282</v>
      </c>
      <c r="B8" s="25"/>
      <c r="C8" s="23"/>
      <c r="D8" s="23"/>
      <c r="E8" s="23"/>
      <c r="F8" s="23"/>
      <c r="G8" s="23"/>
      <c r="H8" s="23"/>
    </row>
    <row r="9" spans="1:8">
      <c r="A9" s="1185" t="s">
        <v>283</v>
      </c>
      <c r="B9" s="1186"/>
      <c r="C9" s="1187"/>
      <c r="D9" s="26" t="s">
        <v>284</v>
      </c>
      <c r="E9" s="27" t="s">
        <v>285</v>
      </c>
      <c r="F9" s="26" t="s">
        <v>286</v>
      </c>
      <c r="G9" s="28" t="s">
        <v>287</v>
      </c>
      <c r="H9" s="29"/>
    </row>
    <row r="10" spans="1:8" ht="15" customHeight="1">
      <c r="A10" s="1188" t="s">
        <v>109</v>
      </c>
      <c r="B10" s="1189"/>
      <c r="C10" s="1190"/>
      <c r="D10" s="30"/>
      <c r="E10" s="31">
        <f>'EQUIPOS '!D2</f>
        <v>66967</v>
      </c>
      <c r="F10" s="115">
        <v>7.0000000000000007E-2</v>
      </c>
      <c r="G10" s="507">
        <f>+E10*F10</f>
        <v>4687.6900000000005</v>
      </c>
      <c r="H10" s="34"/>
    </row>
    <row r="11" spans="1:8">
      <c r="A11" s="1191" t="s">
        <v>834</v>
      </c>
      <c r="B11" s="1192"/>
      <c r="C11" s="1193"/>
      <c r="D11" s="35"/>
      <c r="E11" s="35"/>
      <c r="F11" s="121"/>
      <c r="G11" s="33">
        <f>H35*10%</f>
        <v>1048.6177745425066</v>
      </c>
      <c r="H11" s="34"/>
    </row>
    <row r="12" spans="1:8">
      <c r="A12" s="1191" t="s">
        <v>1415</v>
      </c>
      <c r="B12" s="1192"/>
      <c r="C12" s="1193"/>
      <c r="D12" s="35"/>
      <c r="E12" s="36"/>
      <c r="F12" s="31"/>
      <c r="G12" s="33">
        <f>+H35*10%</f>
        <v>1048.6177745425066</v>
      </c>
      <c r="H12" s="34"/>
    </row>
    <row r="13" spans="1:8">
      <c r="A13" s="1188" t="s">
        <v>109</v>
      </c>
      <c r="B13" s="1189"/>
      <c r="C13" s="1190"/>
      <c r="D13" s="30" t="s">
        <v>7</v>
      </c>
      <c r="E13" s="59">
        <f>+'EQUIPOS '!D2</f>
        <v>66967</v>
      </c>
      <c r="F13" s="115">
        <v>4.9999999999999822E-2</v>
      </c>
      <c r="G13" s="33">
        <f>(E13*F13)</f>
        <v>3348.3499999999881</v>
      </c>
      <c r="H13" s="34"/>
    </row>
    <row r="14" spans="1:8" ht="15" thickBot="1">
      <c r="A14" s="1194"/>
      <c r="B14" s="1195"/>
      <c r="C14" s="1196"/>
      <c r="D14" s="38"/>
      <c r="E14" s="39"/>
      <c r="F14" s="40"/>
      <c r="G14" s="41"/>
      <c r="H14" s="42"/>
    </row>
    <row r="15" spans="1:8" ht="15" thickBot="1">
      <c r="A15" s="23"/>
      <c r="B15" s="23"/>
      <c r="C15" s="23"/>
      <c r="D15" s="23"/>
      <c r="E15" s="23"/>
      <c r="F15" s="23"/>
      <c r="G15" s="43" t="s">
        <v>289</v>
      </c>
      <c r="H15" s="44">
        <f>SUM(G10:G14)</f>
        <v>10133.275549085001</v>
      </c>
    </row>
    <row r="16" spans="1:8" ht="15" thickBot="1">
      <c r="A16" s="25" t="s">
        <v>290</v>
      </c>
      <c r="B16" s="25"/>
      <c r="C16" s="23"/>
      <c r="D16" s="23"/>
      <c r="E16" s="23"/>
      <c r="F16" s="23"/>
      <c r="G16" s="23"/>
      <c r="H16" s="23"/>
    </row>
    <row r="17" spans="1:8">
      <c r="A17" s="1209" t="s">
        <v>283</v>
      </c>
      <c r="B17" s="1210"/>
      <c r="C17" s="1211"/>
      <c r="D17" s="75" t="s">
        <v>291</v>
      </c>
      <c r="E17" s="75" t="s">
        <v>292</v>
      </c>
      <c r="F17" s="75" t="s">
        <v>293</v>
      </c>
      <c r="G17" s="76" t="s">
        <v>287</v>
      </c>
      <c r="H17" s="29"/>
    </row>
    <row r="18" spans="1:8">
      <c r="A18" s="86"/>
      <c r="B18" s="46"/>
      <c r="C18" s="47"/>
      <c r="D18" s="100"/>
      <c r="E18" s="98"/>
      <c r="F18" s="96"/>
      <c r="G18" s="96"/>
      <c r="H18" s="21"/>
    </row>
    <row r="19" spans="1:8">
      <c r="A19" s="86"/>
      <c r="B19" s="46"/>
      <c r="C19" s="47"/>
      <c r="D19" s="30"/>
      <c r="E19" s="101"/>
      <c r="F19" s="32"/>
      <c r="G19" s="31"/>
      <c r="H19" s="21"/>
    </row>
    <row r="20" spans="1:8">
      <c r="A20" s="87"/>
      <c r="B20" s="88"/>
      <c r="C20" s="89"/>
      <c r="D20" s="90"/>
      <c r="E20" s="91"/>
      <c r="F20" s="92"/>
      <c r="G20" s="97"/>
      <c r="H20" s="21"/>
    </row>
    <row r="21" spans="1:8" ht="15" thickBot="1">
      <c r="A21" s="51"/>
      <c r="B21" s="52"/>
      <c r="C21" s="53"/>
      <c r="D21" s="38"/>
      <c r="E21" s="39"/>
      <c r="F21" s="40"/>
      <c r="G21" s="41"/>
      <c r="H21" s="42"/>
    </row>
    <row r="22" spans="1:8" ht="15" thickBot="1">
      <c r="A22" s="23"/>
      <c r="B22" s="23"/>
      <c r="C22" s="23"/>
      <c r="D22" s="23"/>
      <c r="E22" s="23"/>
      <c r="F22" s="23"/>
      <c r="G22" s="43" t="s">
        <v>289</v>
      </c>
      <c r="H22" s="44">
        <f>SUM(G18:G21)</f>
        <v>0</v>
      </c>
    </row>
    <row r="23" spans="1:8" ht="15" thickBot="1">
      <c r="A23" s="54" t="s">
        <v>294</v>
      </c>
      <c r="B23" s="54"/>
      <c r="C23" s="52"/>
      <c r="D23" s="23"/>
      <c r="E23" s="23"/>
      <c r="F23" s="23"/>
      <c r="G23" s="23"/>
      <c r="H23" s="23"/>
    </row>
    <row r="24" spans="1:8">
      <c r="A24" s="1185" t="s">
        <v>295</v>
      </c>
      <c r="B24" s="1187"/>
      <c r="C24" s="55" t="s">
        <v>296</v>
      </c>
      <c r="D24" s="26" t="s">
        <v>297</v>
      </c>
      <c r="E24" s="26" t="s">
        <v>298</v>
      </c>
      <c r="F24" s="26" t="s">
        <v>299</v>
      </c>
      <c r="G24" s="56" t="s">
        <v>287</v>
      </c>
      <c r="H24" s="29"/>
    </row>
    <row r="25" spans="1:8">
      <c r="A25" s="45"/>
      <c r="B25" s="46"/>
      <c r="C25" s="57"/>
      <c r="D25" s="58"/>
      <c r="E25" s="58"/>
      <c r="F25" s="59"/>
      <c r="G25" s="31"/>
      <c r="H25" s="34"/>
    </row>
    <row r="26" spans="1:8">
      <c r="A26" s="45"/>
      <c r="B26" s="46"/>
      <c r="C26" s="60"/>
      <c r="D26" s="30"/>
      <c r="E26" s="61"/>
      <c r="F26" s="31"/>
      <c r="G26" s="31"/>
      <c r="H26" s="34"/>
    </row>
    <row r="27" spans="1:8" ht="15" thickBot="1">
      <c r="A27" s="62"/>
      <c r="B27" s="63"/>
      <c r="C27" s="38"/>
      <c r="D27" s="39"/>
      <c r="E27" s="40"/>
      <c r="F27" s="41"/>
      <c r="G27" s="38"/>
      <c r="H27" s="34"/>
    </row>
    <row r="28" spans="1:8" ht="15" thickBot="1">
      <c r="A28" s="23"/>
      <c r="B28" s="23"/>
      <c r="C28" s="23"/>
      <c r="D28" s="23"/>
      <c r="E28" s="23"/>
      <c r="F28" s="23"/>
      <c r="G28" s="43" t="s">
        <v>289</v>
      </c>
      <c r="H28" s="44">
        <f>SUM(G25:G27)</f>
        <v>0</v>
      </c>
    </row>
    <row r="29" spans="1:8" ht="15" thickBot="1">
      <c r="A29" s="54" t="s">
        <v>300</v>
      </c>
      <c r="B29" s="54"/>
      <c r="C29" s="23"/>
      <c r="D29" s="23"/>
      <c r="E29" s="23"/>
      <c r="F29" s="23"/>
      <c r="G29" s="23"/>
      <c r="H29" s="23"/>
    </row>
    <row r="30" spans="1:8">
      <c r="A30" s="1185" t="s">
        <v>301</v>
      </c>
      <c r="B30" s="1187"/>
      <c r="C30" s="110" t="s">
        <v>302</v>
      </c>
      <c r="D30" s="110" t="s">
        <v>303</v>
      </c>
      <c r="E30" s="85" t="s">
        <v>304</v>
      </c>
      <c r="F30" s="64" t="s">
        <v>286</v>
      </c>
      <c r="G30" s="109" t="s">
        <v>287</v>
      </c>
      <c r="H30" s="29"/>
    </row>
    <row r="31" spans="1:8">
      <c r="A31" s="45" t="s">
        <v>343</v>
      </c>
      <c r="B31" s="46"/>
      <c r="C31" s="65">
        <f>SALARIOS!C48*2</f>
        <v>65377.133333333331</v>
      </c>
      <c r="D31" s="66">
        <f>+SALARIOS!D48</f>
        <v>1.8056142176927319</v>
      </c>
      <c r="E31" s="31">
        <f>+C31*D31</f>
        <v>118045.88145866009</v>
      </c>
      <c r="F31" s="31">
        <v>0.05</v>
      </c>
      <c r="G31" s="67">
        <f>E31*F31</f>
        <v>5902.2940729330048</v>
      </c>
      <c r="H31" s="34"/>
    </row>
    <row r="32" spans="1:8">
      <c r="A32" s="45" t="s">
        <v>403</v>
      </c>
      <c r="B32" s="46"/>
      <c r="C32" s="65">
        <f>+SALARIOS!C49</f>
        <v>53170.636666666665</v>
      </c>
      <c r="D32" s="66">
        <f>+SALARIOS!D49</f>
        <v>1.724216206485921</v>
      </c>
      <c r="E32" s="31">
        <f>+C32*D32</f>
        <v>91677.673449841212</v>
      </c>
      <c r="F32" s="31">
        <v>0.05</v>
      </c>
      <c r="G32" s="67">
        <f>E32*F32</f>
        <v>4583.8836724920611</v>
      </c>
      <c r="H32" s="34"/>
    </row>
    <row r="33" spans="1:8">
      <c r="A33" s="45"/>
      <c r="B33" s="46"/>
      <c r="C33" s="65"/>
      <c r="D33" s="66"/>
      <c r="E33" s="31"/>
      <c r="F33" s="31"/>
      <c r="G33" s="67"/>
      <c r="H33" s="34"/>
    </row>
    <row r="34" spans="1:8" ht="15" thickBot="1">
      <c r="A34" s="62"/>
      <c r="B34" s="68"/>
      <c r="C34" s="39"/>
      <c r="D34" s="53"/>
      <c r="E34" s="102"/>
      <c r="F34" s="53"/>
      <c r="G34" s="52"/>
      <c r="H34" s="42"/>
    </row>
    <row r="35" spans="1:8" ht="15" thickBot="1">
      <c r="A35" s="23"/>
      <c r="B35" s="23"/>
      <c r="C35" s="23"/>
      <c r="D35" s="23"/>
      <c r="E35" s="23"/>
      <c r="F35" s="23"/>
      <c r="G35" s="43" t="s">
        <v>289</v>
      </c>
      <c r="H35" s="44">
        <f>SUM(G31:G34)</f>
        <v>10486.177745425066</v>
      </c>
    </row>
    <row r="36" spans="1:8" ht="15" thickBot="1">
      <c r="A36" s="23"/>
      <c r="B36" s="23"/>
      <c r="C36" s="23"/>
      <c r="D36" s="23"/>
      <c r="E36" s="23"/>
      <c r="F36" s="23"/>
      <c r="G36" s="69"/>
      <c r="H36" s="20"/>
    </row>
    <row r="37" spans="1:8" ht="15" thickBot="1">
      <c r="A37" s="23"/>
      <c r="B37" s="23"/>
      <c r="C37" s="23"/>
      <c r="D37" s="23"/>
      <c r="E37" s="70" t="s">
        <v>306</v>
      </c>
      <c r="F37" s="71"/>
      <c r="G37" s="71"/>
      <c r="H37" s="44">
        <f>H15+H22+H28+H35</f>
        <v>20619.453294510065</v>
      </c>
    </row>
    <row r="38" spans="1:8" ht="15" thickBot="1">
      <c r="A38" s="25" t="s">
        <v>307</v>
      </c>
      <c r="B38" s="25"/>
      <c r="C38" s="23"/>
      <c r="D38" s="23"/>
      <c r="E38" s="23"/>
      <c r="F38" s="23"/>
      <c r="G38" s="23"/>
      <c r="H38" s="23"/>
    </row>
    <row r="39" spans="1:8">
      <c r="A39" s="72" t="s">
        <v>283</v>
      </c>
      <c r="B39" s="73"/>
      <c r="C39" s="73"/>
      <c r="D39" s="73"/>
      <c r="E39" s="74"/>
      <c r="F39" s="75" t="s">
        <v>308</v>
      </c>
      <c r="G39" s="76" t="s">
        <v>309</v>
      </c>
      <c r="H39" s="29"/>
    </row>
    <row r="40" spans="1:8">
      <c r="A40" s="45" t="s">
        <v>310</v>
      </c>
      <c r="B40" s="46"/>
      <c r="C40" s="46"/>
      <c r="D40" s="46"/>
      <c r="E40" s="47"/>
      <c r="F40" s="77">
        <f>(SALARIOS!C43)</f>
        <v>0.15</v>
      </c>
      <c r="G40" s="78">
        <f>++F40*H37</f>
        <v>3092.9179941765096</v>
      </c>
      <c r="H40" s="79"/>
    </row>
    <row r="41" spans="1:8">
      <c r="A41" s="45" t="s">
        <v>311</v>
      </c>
      <c r="B41" s="46"/>
      <c r="C41" s="46"/>
      <c r="D41" s="46"/>
      <c r="E41" s="47"/>
      <c r="F41" s="77">
        <f>(SALARIOS!C44)</f>
        <v>0.05</v>
      </c>
      <c r="G41" s="78">
        <f>+F41*H37</f>
        <v>1030.9726647255034</v>
      </c>
      <c r="H41" s="79"/>
    </row>
    <row r="42" spans="1:8" ht="15" thickBot="1">
      <c r="A42" s="51" t="s">
        <v>312</v>
      </c>
      <c r="B42" s="52"/>
      <c r="C42" s="52"/>
      <c r="D42" s="52"/>
      <c r="E42" s="53"/>
      <c r="F42" s="80">
        <f>(SALARIOS!C45)</f>
        <v>0.05</v>
      </c>
      <c r="G42" s="81">
        <f>+F42*H37</f>
        <v>1030.9726647255034</v>
      </c>
      <c r="H42" s="42"/>
    </row>
    <row r="43" spans="1:8" ht="15" thickBot="1">
      <c r="A43" s="23"/>
      <c r="B43" s="23"/>
      <c r="C43" s="23"/>
      <c r="D43" s="23"/>
      <c r="E43" s="23"/>
      <c r="F43" s="23"/>
      <c r="G43" s="43" t="s">
        <v>289</v>
      </c>
      <c r="H43" s="82">
        <f>SUM(G40:G42)</f>
        <v>5154.8633236275164</v>
      </c>
    </row>
    <row r="44" spans="1:8" ht="15" thickBot="1">
      <c r="A44" s="23"/>
      <c r="B44" s="23"/>
      <c r="C44" s="23"/>
      <c r="D44" s="23"/>
      <c r="E44" s="23"/>
      <c r="F44" s="23"/>
      <c r="G44" s="23"/>
      <c r="H44" s="23"/>
    </row>
    <row r="45" spans="1:8" ht="15" thickBot="1">
      <c r="A45" s="2"/>
      <c r="B45" s="2"/>
      <c r="C45" s="23"/>
      <c r="D45" s="70" t="s">
        <v>313</v>
      </c>
      <c r="E45" s="71"/>
      <c r="F45" s="71"/>
      <c r="G45" s="71"/>
      <c r="H45" s="44">
        <f>ROUND((H37+H43),0)</f>
        <v>25774</v>
      </c>
    </row>
  </sheetData>
  <mergeCells count="12">
    <mergeCell ref="A30:B30"/>
    <mergeCell ref="A12:C12"/>
    <mergeCell ref="A13:C13"/>
    <mergeCell ref="A14:C14"/>
    <mergeCell ref="A17:C17"/>
    <mergeCell ref="A24:B24"/>
    <mergeCell ref="A11:C11"/>
    <mergeCell ref="A1:C2"/>
    <mergeCell ref="A3:C3"/>
    <mergeCell ref="D3:H3"/>
    <mergeCell ref="A9:C9"/>
    <mergeCell ref="A10:C10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591</v>
      </c>
      <c r="H7" s="23"/>
    </row>
    <row r="8" spans="1:8">
      <c r="A8" s="22" t="s">
        <v>605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13110.815119751549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51677.48511975156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592</v>
      </c>
      <c r="B21" s="46"/>
      <c r="C21" s="47"/>
      <c r="D21" s="100" t="s">
        <v>41</v>
      </c>
      <c r="E21" s="98">
        <f>+MATERIALES!E174</f>
        <v>489566</v>
      </c>
      <c r="F21" s="122">
        <v>1</v>
      </c>
      <c r="G21" s="96">
        <f>+E21*F21</f>
        <v>489566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489566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0.39999997811474652</v>
      </c>
      <c r="G34" s="67">
        <f>+E34*F34</f>
        <v>94436.7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0.40000416478259815</v>
      </c>
      <c r="G35" s="67">
        <f>+E35*F35</f>
        <v>36671.451197515504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131108.15119751549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672351.63631726708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100852.74544759006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33617.581815863356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33617.581815863356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168087.90907931677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840440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593</v>
      </c>
      <c r="H7" s="23"/>
    </row>
    <row r="8" spans="1:8">
      <c r="A8" s="22" t="s">
        <v>606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14898.588886340651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53465.258886340664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594</v>
      </c>
      <c r="B21" s="46"/>
      <c r="C21" s="47"/>
      <c r="D21" s="100" t="s">
        <v>41</v>
      </c>
      <c r="E21" s="98">
        <f>+MATERIALES!E175</f>
        <v>500000</v>
      </c>
      <c r="F21" s="122">
        <v>1</v>
      </c>
      <c r="G21" s="96">
        <f>+E21*F21</f>
        <v>500000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500000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0.45454546433109461</v>
      </c>
      <c r="G34" s="67">
        <f>+E34*F34</f>
        <v>107314.44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0.45454304516361665</v>
      </c>
      <c r="G35" s="67">
        <f>+E35*F35</f>
        <v>41671.448863406476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148985.88886340649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702451.14774974715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105367.67216246207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35122.557387487359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35122.557387487359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175612.78693743679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878064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O28" sqref="O2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595</v>
      </c>
      <c r="H7" s="23"/>
    </row>
    <row r="8" spans="1:8">
      <c r="A8" s="22" t="s">
        <v>604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16388.516308613729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54955.186308613745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584</v>
      </c>
      <c r="B21" s="46"/>
      <c r="C21" s="47"/>
      <c r="D21" s="100" t="s">
        <v>41</v>
      </c>
      <c r="E21" s="98">
        <f>+MATERIALES!E177</f>
        <v>766728.9</v>
      </c>
      <c r="F21" s="122">
        <v>1</v>
      </c>
      <c r="G21" s="96">
        <f>+E21*F21</f>
        <v>766728.9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766728.9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0.50000003617805133</v>
      </c>
      <c r="G34" s="67">
        <f>+E34*F34</f>
        <v>118045.89000000001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0.50000475973266134</v>
      </c>
      <c r="G35" s="67">
        <f>+E35*F35</f>
        <v>45839.27308613724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163885.16308613727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985569.24939475104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147835.38740921265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49278.462469737555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49278.462469737555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246392.31234868779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1231962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596</v>
      </c>
      <c r="H7" s="23"/>
    </row>
    <row r="8" spans="1:8">
      <c r="A8" s="22" t="s">
        <v>603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21763.4017311147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60330.071731114716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583</v>
      </c>
      <c r="B21" s="46"/>
      <c r="C21" s="47"/>
      <c r="D21" s="100" t="s">
        <v>41</v>
      </c>
      <c r="E21" s="98">
        <f>+MATERIALES!E178</f>
        <v>937862.8</v>
      </c>
      <c r="F21" s="122">
        <v>1</v>
      </c>
      <c r="G21" s="96">
        <f>+E21*F21</f>
        <v>937862.8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937862.8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0.65</v>
      </c>
      <c r="G34" s="67">
        <f>+E34*F34</f>
        <v>153459.64589625812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</v>
      </c>
      <c r="G35" s="67">
        <f>+E35*F35</f>
        <v>64174.371414888847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217634.01731114698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1215826.8890422618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182374.03335633926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60791.344452113088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60791.344452113088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303956.72226056544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1519784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597</v>
      </c>
      <c r="H7" s="23"/>
    </row>
    <row r="8" spans="1:8">
      <c r="A8" s="22" t="s">
        <v>602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24582.707727537105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63149.377727537118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588</v>
      </c>
      <c r="B21" s="46"/>
      <c r="C21" s="47"/>
      <c r="D21" s="100" t="s">
        <v>41</v>
      </c>
      <c r="E21" s="98">
        <f>+MATERIALES!E179</f>
        <v>1074474.8</v>
      </c>
      <c r="F21" s="122">
        <v>1</v>
      </c>
      <c r="G21" s="96">
        <f>+E21*F21</f>
        <v>1074474.8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1074474.8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0.75</v>
      </c>
      <c r="G34" s="67">
        <f>+E34*F34</f>
        <v>177068.82218799012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0.75</v>
      </c>
      <c r="G35" s="67">
        <f>+E35*F35</f>
        <v>68758.255087380909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245827.07727537103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1383451.2550029082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207517.68825043621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69172.562750145415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69172.562750145415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345862.8137507271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1729314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H48"/>
  <sheetViews>
    <sheetView workbookViewId="0">
      <selection activeCell="F22" sqref="F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2.5" customHeight="1">
      <c r="A7" s="1235" t="s">
        <v>1142</v>
      </c>
      <c r="B7" s="1235"/>
      <c r="C7" s="1235"/>
      <c r="D7" s="1235"/>
      <c r="E7" s="1235"/>
      <c r="F7" s="2"/>
      <c r="G7" s="24" t="s">
        <v>598</v>
      </c>
      <c r="H7" s="23"/>
    </row>
    <row r="8" spans="1:8">
      <c r="A8" s="22" t="s">
        <v>601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0.33333336214347464</v>
      </c>
      <c r="G12" s="33">
        <f>+E12*F12</f>
        <v>38566.670000000013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26221.554909372913</v>
      </c>
      <c r="H13" s="34"/>
    </row>
    <row r="14" spans="1:8">
      <c r="A14" s="134"/>
      <c r="B14" s="124"/>
      <c r="C14" s="125"/>
      <c r="D14" s="126"/>
      <c r="E14" s="126"/>
      <c r="F14" s="126"/>
      <c r="G14" s="132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64788.224909372926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587</v>
      </c>
      <c r="B21" s="46"/>
      <c r="C21" s="47"/>
      <c r="D21" s="100" t="s">
        <v>41</v>
      </c>
      <c r="E21" s="98">
        <f>+MATERIALES!E180</f>
        <v>1259400.8</v>
      </c>
      <c r="F21" s="122">
        <v>1</v>
      </c>
      <c r="G21" s="96">
        <f>+E21*F21</f>
        <v>1259400.8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1259400.8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0.8</v>
      </c>
      <c r="G34" s="67">
        <f>+E34*F34</f>
        <v>188873.41033385615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0.8</v>
      </c>
      <c r="G35" s="67">
        <f>+E35*F35</f>
        <v>73342.138759872978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262215.54909372912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1586404.574003102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237960.6861004653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79320.228700155101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79320.228700155101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396601.14350077551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1983006</v>
      </c>
    </row>
  </sheetData>
  <mergeCells count="2">
    <mergeCell ref="A3:C4"/>
    <mergeCell ref="A7:E7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J48"/>
  <sheetViews>
    <sheetView workbookViewId="0">
      <selection activeCell="F34" sqref="F34:G35"/>
    </sheetView>
  </sheetViews>
  <sheetFormatPr baseColWidth="10" defaultRowHeight="14.4"/>
  <cols>
    <col min="10" max="10" width="13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599</v>
      </c>
      <c r="H7" s="23"/>
    </row>
    <row r="8" spans="1:8">
      <c r="A8" s="22" t="s">
        <v>468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90"/>
      <c r="C12" s="191"/>
      <c r="D12" s="30"/>
      <c r="E12" s="48"/>
      <c r="F12" s="120"/>
      <c r="G12" s="33">
        <f>H38*10%</f>
        <v>1255.8733594239563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1255.8733594239563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10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8.3333360541213874E-2</v>
      </c>
      <c r="G34" s="67">
        <f>+E34*F34</f>
        <v>4918.5799999999581</v>
      </c>
      <c r="H34" s="34"/>
      <c r="J34" s="10">
        <v>4918.5783941108375</v>
      </c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8.3337123497355045E-2</v>
      </c>
      <c r="G35" s="67">
        <f>+E35*F35</f>
        <v>7640.1535942396049</v>
      </c>
      <c r="H35" s="34"/>
      <c r="J35" s="8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12558.733594239562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13814.606953663519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2072.1910430495277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690.73034768317598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690.73034768317598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3453.6517384158797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17268</v>
      </c>
    </row>
  </sheetData>
  <mergeCells count="1">
    <mergeCell ref="A3:C4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K44" sqref="K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607</v>
      </c>
      <c r="H7" s="23"/>
    </row>
    <row r="8" spans="1:8">
      <c r="A8" s="22" t="s">
        <v>1105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1883.746326957883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1883.746326957883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0.12500004081182237</v>
      </c>
      <c r="G34" s="67">
        <f>+E34*F34</f>
        <v>7377.8700000000281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0.12499873566107221</v>
      </c>
      <c r="G35" s="67">
        <f>+E35*F35</f>
        <v>11459.5932695788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18837.463269578828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20721.209596536712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3108.1814394805065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1036.0604798268357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1036.0604798268357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5180.3023991341779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25902</v>
      </c>
    </row>
  </sheetData>
  <mergeCells count="1">
    <mergeCell ref="A3:C4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J34" sqref="J3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609</v>
      </c>
      <c r="H7" s="23"/>
    </row>
    <row r="8" spans="1:8">
      <c r="A8" s="22" t="s">
        <v>1106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2009.2965245749344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2009.2965245749344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0.13333341075107308</v>
      </c>
      <c r="G34" s="67">
        <f>+E34*F34</f>
        <v>7869.7300000000041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0.13332837522798752</v>
      </c>
      <c r="G35" s="67">
        <f>+E35*F35</f>
        <v>12223.235245749338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20092.965245749343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22102.261770324276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3315.3392655486414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1105.1130885162138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1105.1130885162138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5525.565442581069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27628</v>
      </c>
    </row>
  </sheetData>
  <mergeCells count="1">
    <mergeCell ref="A3:C4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topLeftCell="A34" workbookViewId="0">
      <selection activeCell="M34" sqref="M3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610</v>
      </c>
      <c r="H7" s="23"/>
    </row>
    <row r="8" spans="1:8">
      <c r="A8" s="22" t="s">
        <v>1104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2318.4971134417901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2318.4971134417901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 t="s">
        <v>611</v>
      </c>
      <c r="B21" s="46"/>
      <c r="C21" s="47"/>
      <c r="D21" s="100" t="s">
        <v>1</v>
      </c>
      <c r="E21" s="98"/>
      <c r="F21" s="122">
        <v>1</v>
      </c>
      <c r="G21" s="96">
        <f>+E21*F21</f>
        <v>0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0.1598246376811594</v>
      </c>
      <c r="G34" s="67">
        <f>+E34*F34</f>
        <v>9433.3201169417207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0.15</v>
      </c>
      <c r="G35" s="67">
        <f>+E35*F35</f>
        <v>13751.651017476181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23184.971134417901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25503.468247859691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3825.5202371789537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1275.1734123929846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1275.1734123929846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6375.8670619649229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31879</v>
      </c>
    </row>
  </sheetData>
  <mergeCells count="1">
    <mergeCell ref="A3:C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48"/>
  <sheetViews>
    <sheetView topLeftCell="A19" workbookViewId="0">
      <selection activeCell="J36" sqref="J36"/>
    </sheetView>
  </sheetViews>
  <sheetFormatPr baseColWidth="10" defaultRowHeight="14.4"/>
  <cols>
    <col min="10" max="10" width="23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345</v>
      </c>
      <c r="H7" s="23"/>
    </row>
    <row r="8" spans="1:8">
      <c r="A8" s="22" t="s">
        <v>344</v>
      </c>
      <c r="B8" s="24"/>
      <c r="C8" s="23"/>
      <c r="D8" s="24"/>
      <c r="E8" s="24"/>
      <c r="F8" s="24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04" t="s">
        <v>284</v>
      </c>
      <c r="E11" s="27" t="s">
        <v>285</v>
      </c>
      <c r="F11" s="104" t="s">
        <v>286</v>
      </c>
      <c r="G11" s="103" t="s">
        <v>287</v>
      </c>
      <c r="H11" s="29"/>
    </row>
    <row r="12" spans="1:8">
      <c r="A12" s="1188" t="s">
        <v>109</v>
      </c>
      <c r="B12" s="1189"/>
      <c r="C12" s="1190"/>
      <c r="D12" s="30" t="s">
        <v>7</v>
      </c>
      <c r="E12" s="59">
        <f>+'EQUIPOS '!D2</f>
        <v>66967</v>
      </c>
      <c r="F12" s="59">
        <v>4.9999999999999822E-2</v>
      </c>
      <c r="G12" s="33">
        <f>(E12*F12)</f>
        <v>3348.3499999999881</v>
      </c>
      <c r="H12" s="34"/>
    </row>
    <row r="13" spans="1:8">
      <c r="A13" s="1191" t="s">
        <v>834</v>
      </c>
      <c r="B13" s="1192"/>
      <c r="C13" s="1193"/>
      <c r="D13" s="35"/>
      <c r="E13" s="35"/>
      <c r="F13" s="115"/>
      <c r="G13" s="33">
        <f>H38*10%</f>
        <v>1395.2056573468572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4743.5556573468457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06" t="s">
        <v>291</v>
      </c>
      <c r="E20" s="106" t="s">
        <v>292</v>
      </c>
      <c r="F20" s="106" t="s">
        <v>293</v>
      </c>
      <c r="G20" s="105" t="s">
        <v>287</v>
      </c>
      <c r="H20" s="29"/>
    </row>
    <row r="21" spans="1:8">
      <c r="A21" s="86" t="s">
        <v>921</v>
      </c>
      <c r="B21" s="46"/>
      <c r="C21" s="47"/>
      <c r="D21" s="100" t="s">
        <v>9</v>
      </c>
      <c r="E21" s="98">
        <f>+MATERIALES!E43</f>
        <v>33310.309433333336</v>
      </c>
      <c r="F21" s="434">
        <v>1.05</v>
      </c>
      <c r="G21" s="96">
        <f>(E21*F21)</f>
        <v>34975.824905000001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34975.824905000001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04" t="s">
        <v>297</v>
      </c>
      <c r="E27" s="104" t="s">
        <v>298</v>
      </c>
      <c r="F27" s="104" t="s">
        <v>299</v>
      </c>
      <c r="G27" s="56" t="s">
        <v>287</v>
      </c>
      <c r="H27" s="29"/>
    </row>
    <row r="28" spans="1:8">
      <c r="A28" s="45" t="s">
        <v>1081</v>
      </c>
      <c r="B28" s="46"/>
      <c r="C28" s="57">
        <v>1</v>
      </c>
      <c r="D28" s="58">
        <v>1</v>
      </c>
      <c r="E28" s="58"/>
      <c r="F28" s="58">
        <f>+'EQUIPOS '!D18</f>
        <v>1250</v>
      </c>
      <c r="G28" s="31">
        <f>+C28*D28*F28</f>
        <v>1250</v>
      </c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1250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10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31">
        <v>7.0000000000000007E-2</v>
      </c>
      <c r="G34" s="67">
        <f>E34*F34</f>
        <v>8263.2117021062077</v>
      </c>
      <c r="H34" s="34"/>
    </row>
    <row r="35" spans="1:10">
      <c r="A35" s="45" t="s">
        <v>922</v>
      </c>
      <c r="B35" s="46"/>
      <c r="C35" s="65">
        <f>SALARIOS!C49</f>
        <v>53170.636666666665</v>
      </c>
      <c r="D35" s="66">
        <f>+SALARIOS!D49</f>
        <v>1.724216206485921</v>
      </c>
      <c r="E35" s="31">
        <f>(C35*D35)</f>
        <v>91677.673449841212</v>
      </c>
      <c r="F35" s="31">
        <v>6.2052674956622332E-2</v>
      </c>
      <c r="G35" s="67">
        <f>E35*F35</f>
        <v>5688.844871362362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  <c r="J36">
        <f>1/0.06</f>
        <v>16.666666666666668</v>
      </c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13952.05657346857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54921.437135815417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106" t="s">
        <v>308</v>
      </c>
      <c r="G42" s="105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8238.2155703723129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2746.0718567907711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2746.0718567907711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13730.359283953856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68652</v>
      </c>
    </row>
  </sheetData>
  <mergeCells count="13">
    <mergeCell ref="A33:B33"/>
    <mergeCell ref="A14:C14"/>
    <mergeCell ref="A15:C15"/>
    <mergeCell ref="A16:C16"/>
    <mergeCell ref="A17:C17"/>
    <mergeCell ref="A20:C20"/>
    <mergeCell ref="A27:B27"/>
    <mergeCell ref="A13:C13"/>
    <mergeCell ref="A3:C4"/>
    <mergeCell ref="A5:C5"/>
    <mergeCell ref="D5:H5"/>
    <mergeCell ref="A11:C11"/>
    <mergeCell ref="A12:C12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575" t="s">
        <v>318</v>
      </c>
      <c r="B5" s="576"/>
      <c r="C5" s="577"/>
      <c r="D5" s="563"/>
      <c r="E5" s="564"/>
      <c r="F5" s="564"/>
      <c r="G5" s="564"/>
      <c r="H5" s="56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612</v>
      </c>
      <c r="H7" s="23"/>
    </row>
    <row r="8" spans="1:8">
      <c r="A8" s="22" t="s">
        <v>1088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566" t="s">
        <v>283</v>
      </c>
      <c r="B11" s="567"/>
      <c r="C11" s="568"/>
      <c r="D11" s="568" t="s">
        <v>284</v>
      </c>
      <c r="E11" s="27" t="s">
        <v>285</v>
      </c>
      <c r="F11" s="568" t="s">
        <v>286</v>
      </c>
      <c r="G11" s="567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3057.6227553090366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569"/>
      <c r="B14" s="570"/>
      <c r="C14" s="571"/>
      <c r="D14" s="35"/>
      <c r="E14" s="36"/>
      <c r="F14" s="31"/>
      <c r="G14" s="33"/>
      <c r="H14" s="34"/>
    </row>
    <row r="15" spans="1:8">
      <c r="A15" s="569"/>
      <c r="B15" s="570"/>
      <c r="C15" s="571"/>
      <c r="D15" s="35"/>
      <c r="E15" s="36"/>
      <c r="F15" s="31"/>
      <c r="G15" s="33"/>
      <c r="H15" s="34"/>
    </row>
    <row r="16" spans="1:8">
      <c r="A16" s="569"/>
      <c r="B16" s="570"/>
      <c r="C16" s="571"/>
      <c r="D16" s="35"/>
      <c r="E16" s="36"/>
      <c r="F16" s="31"/>
      <c r="G16" s="33"/>
      <c r="H16" s="34"/>
    </row>
    <row r="17" spans="1:8" ht="15" thickBot="1">
      <c r="A17" s="572"/>
      <c r="B17" s="573"/>
      <c r="C17" s="574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3057.6227553090366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78" t="s">
        <v>283</v>
      </c>
      <c r="B20" s="579"/>
      <c r="C20" s="580"/>
      <c r="D20" s="580" t="s">
        <v>291</v>
      </c>
      <c r="E20" s="580" t="s">
        <v>292</v>
      </c>
      <c r="F20" s="580" t="s">
        <v>293</v>
      </c>
      <c r="G20" s="579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566" t="s">
        <v>295</v>
      </c>
      <c r="B27" s="568"/>
      <c r="C27" s="55" t="s">
        <v>296</v>
      </c>
      <c r="D27" s="568" t="s">
        <v>297</v>
      </c>
      <c r="E27" s="568" t="s">
        <v>298</v>
      </c>
      <c r="F27" s="568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566" t="s">
        <v>301</v>
      </c>
      <c r="B33" s="568"/>
      <c r="C33" s="568" t="s">
        <v>302</v>
      </c>
      <c r="D33" s="568" t="s">
        <v>303</v>
      </c>
      <c r="E33" s="85" t="s">
        <v>304</v>
      </c>
      <c r="F33" s="64" t="s">
        <v>286</v>
      </c>
      <c r="G33" s="567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0.27907420058138055</v>
      </c>
      <c r="G34" s="67">
        <f>+E34*F34</f>
        <v>16471.779999999988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0.15384822740737653</v>
      </c>
      <c r="G35" s="67">
        <f>+E35*F35</f>
        <v>14104.447553090376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30576.227553090364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33633.8503083994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579"/>
      <c r="C42" s="579"/>
      <c r="D42" s="579"/>
      <c r="E42" s="580"/>
      <c r="F42" s="580" t="s">
        <v>308</v>
      </c>
      <c r="G42" s="579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5045.0775462599095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1681.6925154199701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1681.6925154199701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8408.46257709985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42042</v>
      </c>
    </row>
  </sheetData>
  <mergeCells count="1">
    <mergeCell ref="A3:C4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613</v>
      </c>
      <c r="H7" s="23"/>
    </row>
    <row r="8" spans="1:8">
      <c r="A8" s="22" t="s">
        <v>1107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3495.4035373073925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3495.4035373073925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0.16666663636960477</v>
      </c>
      <c r="G34" s="67">
        <f>+E34*F34</f>
        <v>19674.309999999972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0.16666790067958925</v>
      </c>
      <c r="G35" s="67">
        <f>+E35*F35</f>
        <v>15279.725373073952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34954.035373073923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38449.438910381316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5767.4158365571975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1922.4719455190659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1922.4719455190659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9612.3597275953289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48062</v>
      </c>
    </row>
  </sheetData>
  <mergeCells count="1">
    <mergeCell ref="A3:C4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614</v>
      </c>
      <c r="H7" s="23"/>
    </row>
    <row r="8" spans="1:8">
      <c r="A8" s="22" t="s">
        <v>1108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3813.1705908966792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3813.1705908966792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0.18181820267500304</v>
      </c>
      <c r="G34" s="67">
        <f>+E34*F34</f>
        <v>21462.890000000043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0.18181979626791689</v>
      </c>
      <c r="G35" s="67">
        <f>+E35*F35</f>
        <v>16668.815908966742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38131.705908966789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41944.876499863465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6291.7314749795196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2097.2438249931733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2097.2438249931733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10486.219124965866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52431</v>
      </c>
    </row>
  </sheetData>
  <mergeCells count="1">
    <mergeCell ref="A3:C4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615</v>
      </c>
      <c r="H7" s="23"/>
    </row>
    <row r="8" spans="1:8">
      <c r="A8" s="22" t="s">
        <v>1109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4194.4896507863041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4194.4896507863041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0.20000003141378531</v>
      </c>
      <c r="G34" s="67">
        <f>+E34*F34</f>
        <v>23609.179999999997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0.200001983229809</v>
      </c>
      <c r="G35" s="67">
        <f>+E35*F35</f>
        <v>18335.716507863046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41944.896507863043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46139.386158649344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6920.9079237974011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2306.9693079324675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2306.9693079324675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11534.846539662336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57674</v>
      </c>
    </row>
  </sheetData>
  <mergeCells count="1">
    <mergeCell ref="A3:C4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617</v>
      </c>
      <c r="H7" s="23"/>
    </row>
    <row r="8" spans="1:8">
      <c r="A8" s="22" t="s">
        <v>616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4710.1498981621635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4710.1498981621635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0.22643017841635249</v>
      </c>
      <c r="G34" s="67">
        <f>+E34*F34</f>
        <v>26729.15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0.22221712457360487</v>
      </c>
      <c r="G35" s="67">
        <f>+E35*F35</f>
        <v>20372.348981621632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47101.498981621633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51811.648879783796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7771.7473319675692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2590.5824439891899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2590.5824439891899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12952.912219945949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64765</v>
      </c>
    </row>
  </sheetData>
  <mergeCells count="1">
    <mergeCell ref="A3:C4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J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619</v>
      </c>
      <c r="H7" s="23"/>
    </row>
    <row r="8" spans="1:8">
      <c r="A8" s="22" t="s">
        <v>618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5243.0721089837061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5243.0721089837061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0.25000008162364395</v>
      </c>
      <c r="G34" s="67">
        <f>+E34*F34</f>
        <v>29511.480000000021</v>
      </c>
      <c r="H34" s="34"/>
      <c r="J34">
        <v>29511.470364665023</v>
      </c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0.24999806634901833</v>
      </c>
      <c r="G35" s="67">
        <f>+E35*F35</f>
        <v>22919.24108983704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52430.721089837061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57673.793198820771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8651.068979823116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2883.6896599410388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2883.6896599410388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14418.448299705195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72092</v>
      </c>
    </row>
  </sheetData>
  <mergeCells count="1">
    <mergeCell ref="A3:C4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621</v>
      </c>
      <c r="H7" s="23"/>
    </row>
    <row r="8" spans="1:8">
      <c r="A8" s="22" t="s">
        <v>620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5992.078350159285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17562.078350159285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0.28571433059112183</v>
      </c>
      <c r="G34" s="67">
        <f>+E34*F34</f>
        <v>33727.399999999987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0.28571169528995305</v>
      </c>
      <c r="G35" s="67">
        <f>+E35*F35</f>
        <v>26193.383501592853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59920.783501592843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77482.861851752124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11622.429277762818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3874.1430925876066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3874.1430925876066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19370.715462938031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96854</v>
      </c>
    </row>
  </sheetData>
  <mergeCells count="1">
    <mergeCell ref="A3:C4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623</v>
      </c>
      <c r="H7" s="23"/>
    </row>
    <row r="8" spans="1:8">
      <c r="A8" s="22" t="s">
        <v>622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6990.8153473498014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18560.815347349802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0.33333335745203407</v>
      </c>
      <c r="G34" s="67">
        <f>+E34*F34</f>
        <v>39348.629999999983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0.33333659465319865</v>
      </c>
      <c r="G35" s="67">
        <f>+E35*F35</f>
        <v>30559.523473498033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69908.153473498009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88468.968820847804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13270.345323127171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4423.4484410423902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4423.4484410423902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22117.242205211951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110586</v>
      </c>
    </row>
  </sheetData>
  <mergeCells count="1">
    <mergeCell ref="A3:C4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1746</v>
      </c>
      <c r="H7" s="23"/>
    </row>
    <row r="8" spans="1:8">
      <c r="A8" s="22" t="s">
        <v>624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8388.9073925936409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19958.907392593639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0.39999997811474652</v>
      </c>
      <c r="G34" s="67">
        <f>+E34*F34</f>
        <v>47218.35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0.39999623186336347</v>
      </c>
      <c r="G35" s="67">
        <f>+E35*F35</f>
        <v>36670.723925936407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83889.073925936405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103847.98131853004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15577.197197779506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5192.3990659265028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5192.3990659265028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25961.995329632511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129810</v>
      </c>
    </row>
  </sheetData>
  <mergeCells count="1">
    <mergeCell ref="A3:C4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J37" sqref="J3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625</v>
      </c>
      <c r="H7" s="23"/>
    </row>
    <row r="8" spans="1:8">
      <c r="A8" s="22" t="s">
        <v>1111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90"/>
      <c r="C12" s="191"/>
      <c r="D12" s="30"/>
      <c r="E12" s="48"/>
      <c r="F12" s="120"/>
      <c r="G12" s="33">
        <f>H38*10%</f>
        <v>2034.4513146789266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2034.4513146789266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0.14276509259259257</v>
      </c>
      <c r="G34" s="67">
        <f>+E34*F34</f>
        <v>8426.4155983099081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0.13</v>
      </c>
      <c r="G35" s="67">
        <f>+E35*F35</f>
        <v>11918.097548479358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20344.513146789264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22378.964461468189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3356.8446692202283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1118.9482230734095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1118.9482230734095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5594.7411153670473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27974</v>
      </c>
    </row>
  </sheetData>
  <mergeCells count="1">
    <mergeCell ref="A3:C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topLeftCell="A19" workbookViewId="0">
      <selection activeCell="H15" sqref="H1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346</v>
      </c>
      <c r="H7" s="23"/>
    </row>
    <row r="8" spans="1:8">
      <c r="A8" s="22" t="s">
        <v>1596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1180.458814586601</v>
      </c>
      <c r="H12" s="34"/>
    </row>
    <row r="13" spans="1:8">
      <c r="A13" s="123"/>
      <c r="B13" s="124"/>
      <c r="C13" s="125"/>
      <c r="D13" s="126"/>
      <c r="E13" s="126"/>
      <c r="F13" s="126"/>
      <c r="G13" s="12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1180.458814586601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31">
        <v>0.1</v>
      </c>
      <c r="G34" s="67">
        <f>E34*F34</f>
        <v>11804.58814586601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11804.58814586601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12985.046960452612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1947.7570440678917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649.2523480226306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649.2523480226306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3246.2617401131529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16231</v>
      </c>
    </row>
  </sheetData>
  <mergeCells count="12">
    <mergeCell ref="A3:C4"/>
    <mergeCell ref="A5:C5"/>
    <mergeCell ref="D5:H5"/>
    <mergeCell ref="A11:C11"/>
    <mergeCell ref="A12:C12"/>
    <mergeCell ref="A33:B33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K44" sqref="K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626</v>
      </c>
      <c r="H7" s="23"/>
    </row>
    <row r="8" spans="1:8">
      <c r="A8" s="22" t="s">
        <v>1110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2170.0241397042532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2170.0241397042532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0.16055708644712399</v>
      </c>
      <c r="G34" s="67">
        <f>+E34*F34</f>
        <v>9476.55139704252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0.13333333558783922</v>
      </c>
      <c r="G35" s="67">
        <f>+E35*F35</f>
        <v>12223.690000000015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21700.241397042533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23870.265536746785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3580.5398305120175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1193.5132768373394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1193.5132768373394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5967.5663841866963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29838</v>
      </c>
    </row>
  </sheetData>
  <mergeCells count="1">
    <mergeCell ref="A3:C4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J45" sqref="J4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627</v>
      </c>
      <c r="H7" s="23"/>
    </row>
    <row r="8" spans="1:8">
      <c r="A8" s="22" t="s">
        <v>1114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2503.9489048103515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2503.9489048103515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0.11358209139132436</v>
      </c>
      <c r="G34" s="67">
        <f>+E34*F34</f>
        <v>6703.9490481034863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0.20000005792066466</v>
      </c>
      <c r="G35" s="67">
        <f>+E35*F35</f>
        <v>18335.540000000023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25039.489048103511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27543.43795291386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4131.5156929370787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1377.1718976456932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1377.1718976456932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6885.8594882284651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34429</v>
      </c>
    </row>
  </sheetData>
  <mergeCells count="1">
    <mergeCell ref="A3:C4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584" t="s">
        <v>318</v>
      </c>
      <c r="B5" s="585"/>
      <c r="C5" s="586"/>
      <c r="D5" s="590"/>
      <c r="E5" s="591"/>
      <c r="F5" s="591"/>
      <c r="G5" s="591"/>
      <c r="H5" s="59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628</v>
      </c>
      <c r="H7" s="23"/>
    </row>
    <row r="8" spans="1:8">
      <c r="A8" s="22" t="s">
        <v>1101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587" t="s">
        <v>283</v>
      </c>
      <c r="B11" s="588"/>
      <c r="C11" s="589"/>
      <c r="D11" s="589" t="s">
        <v>284</v>
      </c>
      <c r="E11" s="27" t="s">
        <v>285</v>
      </c>
      <c r="F11" s="589" t="s">
        <v>286</v>
      </c>
      <c r="G11" s="588" t="s">
        <v>287</v>
      </c>
      <c r="H11" s="29"/>
    </row>
    <row r="12" spans="1:8">
      <c r="A12" s="134" t="s">
        <v>834</v>
      </c>
      <c r="B12" s="602"/>
      <c r="C12" s="603"/>
      <c r="D12" s="30"/>
      <c r="E12" s="48"/>
      <c r="F12" s="120"/>
      <c r="G12" s="33">
        <f>H38*10%</f>
        <v>3302.1878665283411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593"/>
      <c r="B14" s="594"/>
      <c r="C14" s="595"/>
      <c r="D14" s="35"/>
      <c r="E14" s="36"/>
      <c r="F14" s="31"/>
      <c r="G14" s="33"/>
      <c r="H14" s="34"/>
    </row>
    <row r="15" spans="1:8">
      <c r="A15" s="593"/>
      <c r="B15" s="594"/>
      <c r="C15" s="595"/>
      <c r="D15" s="35"/>
      <c r="E15" s="36"/>
      <c r="F15" s="31"/>
      <c r="G15" s="33"/>
      <c r="H15" s="34"/>
    </row>
    <row r="16" spans="1:8">
      <c r="A16" s="593"/>
      <c r="B16" s="594"/>
      <c r="C16" s="595"/>
      <c r="D16" s="35"/>
      <c r="E16" s="36"/>
      <c r="F16" s="31"/>
      <c r="G16" s="33"/>
      <c r="H16" s="34"/>
    </row>
    <row r="17" spans="1:8" ht="15" thickBot="1">
      <c r="A17" s="596"/>
      <c r="B17" s="597"/>
      <c r="C17" s="59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3302.1878665283411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99" t="s">
        <v>283</v>
      </c>
      <c r="B20" s="600"/>
      <c r="C20" s="601"/>
      <c r="D20" s="601" t="s">
        <v>291</v>
      </c>
      <c r="E20" s="601" t="s">
        <v>292</v>
      </c>
      <c r="F20" s="601" t="s">
        <v>293</v>
      </c>
      <c r="G20" s="60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587" t="s">
        <v>295</v>
      </c>
      <c r="B27" s="589"/>
      <c r="C27" s="55" t="s">
        <v>296</v>
      </c>
      <c r="D27" s="589" t="s">
        <v>297</v>
      </c>
      <c r="E27" s="589" t="s">
        <v>298</v>
      </c>
      <c r="F27" s="589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587" t="s">
        <v>301</v>
      </c>
      <c r="B33" s="589"/>
      <c r="C33" s="589" t="s">
        <v>302</v>
      </c>
      <c r="D33" s="589" t="s">
        <v>303</v>
      </c>
      <c r="E33" s="85" t="s">
        <v>304</v>
      </c>
      <c r="F33" s="64" t="s">
        <v>286</v>
      </c>
      <c r="G33" s="588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0.27</v>
      </c>
      <c r="G34" s="67">
        <f>+E34*F34</f>
        <v>15936.193996919113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0.18636690947128184</v>
      </c>
      <c r="G35" s="67">
        <f>+E35*F35</f>
        <v>17085.684668364294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33021.87866528341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36324.066531811754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600"/>
      <c r="C42" s="600"/>
      <c r="D42" s="600"/>
      <c r="E42" s="601"/>
      <c r="F42" s="601" t="s">
        <v>308</v>
      </c>
      <c r="G42" s="60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5448.6099797717625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1816.2033265905877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1816.2033265905877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9081.0166329529384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45405</v>
      </c>
    </row>
  </sheetData>
  <mergeCells count="1">
    <mergeCell ref="A3:C4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629</v>
      </c>
      <c r="H7" s="23"/>
    </row>
    <row r="8" spans="1:8">
      <c r="A8" s="22" t="s">
        <v>1116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3775.0748248129366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3775.0748248129366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0.17</v>
      </c>
      <c r="G34" s="67">
        <f>+E34*F34</f>
        <v>20067.799847972216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0.19288173155737706</v>
      </c>
      <c r="G35" s="67">
        <f>+E35*F35</f>
        <v>17682.948400157147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37750.748248129363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41525.823072942301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6228.873460941345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2076.2911536471152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2076.2911536471152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10381.455768235575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51907</v>
      </c>
    </row>
  </sheetData>
  <mergeCells count="1">
    <mergeCell ref="A3:C4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15" sqref="G1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630</v>
      </c>
      <c r="H7" s="23"/>
    </row>
    <row r="8" spans="1:8">
      <c r="A8" s="22" t="s">
        <v>1119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4118.1951973676232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4118.1951973676232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0.19353845302691777</v>
      </c>
      <c r="G34" s="67">
        <f>+E34*F34</f>
        <v>22846.41728370799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</v>
      </c>
      <c r="G35" s="67">
        <f>+E35*F35</f>
        <v>18335.534689968244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41181.95197367623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45300.147171043856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6795.0220756565786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2265.0073585521927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2265.0073585521927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11325.036792760964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56625</v>
      </c>
    </row>
  </sheetData>
  <mergeCells count="1">
    <mergeCell ref="A3:C4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631</v>
      </c>
      <c r="H7" s="23"/>
    </row>
    <row r="8" spans="1:8">
      <c r="A8" s="22" t="s">
        <v>1121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4530.0428066122286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4530.0428066122286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0.21289467787114844</v>
      </c>
      <c r="G34" s="67">
        <f>+E34*F34</f>
        <v>25131.339907157213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0.22</v>
      </c>
      <c r="G35" s="67">
        <f>+E35*F35</f>
        <v>20169.088158965067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45300.42806612228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49830.470872734506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7474.5706309101752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2491.5235436367257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2491.5235436367257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12457.617718183626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62288</v>
      </c>
    </row>
  </sheetData>
  <mergeCells count="1">
    <mergeCell ref="A3:C4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632</v>
      </c>
      <c r="H7" s="23"/>
    </row>
    <row r="8" spans="1:8">
      <c r="A8" s="22" t="s">
        <v>519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5992.0404657317358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5992.0404657317358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0.28571433059112183</v>
      </c>
      <c r="G34" s="67">
        <f>+E34*F34</f>
        <v>33727.399999999987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0.28570756293949928</v>
      </c>
      <c r="G35" s="67">
        <f>+E35*F35</f>
        <v>26193.004657317371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59920.404657317355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65912.445123049096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9886.8667684573647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3295.6222561524551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3295.6222561524551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16478.111280762274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82391</v>
      </c>
    </row>
  </sheetData>
  <mergeCells count="1">
    <mergeCell ref="A3:C4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633</v>
      </c>
      <c r="H7" s="23"/>
    </row>
    <row r="8" spans="1:8">
      <c r="A8" s="22" t="s">
        <v>605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6355.2839848277863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6355.2839848277863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0.30303030955406318</v>
      </c>
      <c r="G34" s="67">
        <f>+E34*F34</f>
        <v>35771.480000000018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0.30303299377986082</v>
      </c>
      <c r="G35" s="67">
        <f>+E35*F35</f>
        <v>27781.359848277843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63552.839848277858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69908.123833105637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10486.218574965846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3495.4061916552819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3495.4061916552819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17477.030958276409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87385</v>
      </c>
    </row>
  </sheetData>
  <mergeCells count="1">
    <mergeCell ref="A3:C4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634</v>
      </c>
      <c r="H7" s="23"/>
    </row>
    <row r="8" spans="1:8">
      <c r="A8" s="22" t="s">
        <v>606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10</v>
      </c>
      <c r="G12" s="33">
        <f>+E12/F12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6765.3038320520282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18335.303832052028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0.32258067396731205</v>
      </c>
      <c r="G34" s="67">
        <f>+E34*F34</f>
        <v>38079.32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0.32258364777003962</v>
      </c>
      <c r="G35" s="67">
        <f>+E35*F35</f>
        <v>29573.718320520289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67653.038320520282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85988.34215257231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12898.251322885846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4299.4171076286157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4299.4171076286157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21497.085538143077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107485</v>
      </c>
    </row>
  </sheetData>
  <mergeCells count="1">
    <mergeCell ref="A3:C4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topLeftCell="A28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636</v>
      </c>
      <c r="H7" s="23"/>
    </row>
    <row r="8" spans="1:8">
      <c r="A8" s="22" t="s">
        <v>635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7490.1702195290345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19060.170219529035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0.35714291323890257</v>
      </c>
      <c r="G34" s="67">
        <f>+E34*F34</f>
        <v>42159.250000000022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0.35714750345627405</v>
      </c>
      <c r="G35" s="67">
        <f>+E35*F35</f>
        <v>32742.452195290327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74901.702195290345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93961.872414819372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14094.280862222906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4698.0936207409686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4698.0936207409686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23490.468103704843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117452</v>
      </c>
    </row>
  </sheetData>
  <mergeCells count="1">
    <mergeCell ref="A3: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48"/>
  <sheetViews>
    <sheetView topLeftCell="A33" workbookViewId="0">
      <selection activeCell="C52" sqref="C5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1295</v>
      </c>
      <c r="H7" s="23"/>
    </row>
    <row r="8" spans="1:8">
      <c r="A8" s="22" t="s">
        <v>347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472.18352583464042</v>
      </c>
      <c r="H12" s="34"/>
    </row>
    <row r="13" spans="1:8">
      <c r="A13" s="123"/>
      <c r="B13" s="124"/>
      <c r="C13" s="125"/>
      <c r="D13" s="126"/>
      <c r="E13" s="126"/>
      <c r="F13" s="126"/>
      <c r="G13" s="12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472.18352583464042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 t="s">
        <v>1296</v>
      </c>
      <c r="B21" s="46"/>
      <c r="C21" s="47"/>
      <c r="D21" s="100" t="s">
        <v>9</v>
      </c>
      <c r="E21" s="98">
        <f>+MATERIALES!E38</f>
        <v>61856.184199999996</v>
      </c>
      <c r="F21" s="122">
        <v>1</v>
      </c>
      <c r="G21" s="96">
        <f>E21*F21</f>
        <v>61856.184199999996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61856.184199999996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1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11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59">
        <v>0.04</v>
      </c>
      <c r="G34" s="67">
        <f>E34*F34</f>
        <v>4721.8352583464039</v>
      </c>
      <c r="H34" s="34"/>
    </row>
    <row r="35" spans="1:11">
      <c r="A35" s="45"/>
      <c r="B35" s="46"/>
      <c r="C35" s="65"/>
      <c r="D35" s="66"/>
      <c r="E35" s="31"/>
      <c r="F35" s="31"/>
      <c r="G35" s="67"/>
      <c r="H35" s="34"/>
    </row>
    <row r="36" spans="1:11">
      <c r="A36" s="45"/>
      <c r="B36" s="46"/>
      <c r="C36" s="65"/>
      <c r="D36" s="66"/>
      <c r="E36" s="31"/>
      <c r="F36" s="31"/>
      <c r="G36" s="67"/>
      <c r="H36" s="34"/>
    </row>
    <row r="37" spans="1:11" ht="15" thickBot="1">
      <c r="A37" s="62"/>
      <c r="B37" s="68"/>
      <c r="C37" s="39"/>
      <c r="D37" s="53"/>
      <c r="E37" s="102"/>
      <c r="F37" s="53"/>
      <c r="G37" s="52"/>
      <c r="H37" s="42"/>
    </row>
    <row r="38" spans="1:11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4721.8352583464039</v>
      </c>
      <c r="K38" s="148"/>
    </row>
    <row r="39" spans="1:11" ht="15" thickBot="1">
      <c r="A39" s="23"/>
      <c r="B39" s="23"/>
      <c r="C39" s="23"/>
      <c r="D39" s="23"/>
      <c r="E39" s="23"/>
      <c r="F39" s="23"/>
      <c r="G39" s="69"/>
      <c r="H39" s="20"/>
    </row>
    <row r="40" spans="1:11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67050.202984181044</v>
      </c>
    </row>
    <row r="41" spans="1:11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1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11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10057.530447627156</v>
      </c>
      <c r="H43" s="79"/>
    </row>
    <row r="44" spans="1:11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3352.5101492090525</v>
      </c>
      <c r="H44" s="79"/>
    </row>
    <row r="45" spans="1:11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3352.5101492090525</v>
      </c>
      <c r="H45" s="42"/>
    </row>
    <row r="46" spans="1:11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16762.550746045261</v>
      </c>
    </row>
    <row r="47" spans="1:11" ht="15" thickBot="1">
      <c r="A47" s="23"/>
      <c r="B47" s="23"/>
      <c r="C47" s="23"/>
      <c r="D47" s="23"/>
      <c r="E47" s="23"/>
      <c r="F47" s="23"/>
      <c r="G47" s="23"/>
      <c r="H47" s="23"/>
    </row>
    <row r="48" spans="1:11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83813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600</v>
      </c>
      <c r="B7" s="24"/>
      <c r="C7" s="23"/>
      <c r="D7" s="2"/>
      <c r="E7" s="24"/>
      <c r="F7" s="2"/>
      <c r="G7" s="24" t="s">
        <v>1747</v>
      </c>
      <c r="H7" s="23"/>
    </row>
    <row r="8" spans="1:8">
      <c r="A8" s="22" t="s">
        <v>604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93" t="s">
        <v>6</v>
      </c>
      <c r="B12" s="190"/>
      <c r="C12" s="191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9144.1885123926186</v>
      </c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>
      <c r="A16" s="181"/>
      <c r="B16" s="182"/>
      <c r="C16" s="183"/>
      <c r="D16" s="35"/>
      <c r="E16" s="36"/>
      <c r="F16" s="31"/>
      <c r="G16" s="33"/>
      <c r="H16" s="34"/>
    </row>
    <row r="17" spans="1:8" ht="15" thickBot="1">
      <c r="A17" s="184"/>
      <c r="B17" s="185"/>
      <c r="C17" s="18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20714.188512392619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87" t="s">
        <v>283</v>
      </c>
      <c r="B20" s="188"/>
      <c r="C20" s="189"/>
      <c r="D20" s="189" t="s">
        <v>291</v>
      </c>
      <c r="E20" s="189" t="s">
        <v>292</v>
      </c>
      <c r="F20" s="189" t="s">
        <v>293</v>
      </c>
      <c r="G20" s="18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75" t="s">
        <v>295</v>
      </c>
      <c r="B27" s="177"/>
      <c r="C27" s="55" t="s">
        <v>296</v>
      </c>
      <c r="D27" s="177" t="s">
        <v>297</v>
      </c>
      <c r="E27" s="177" t="s">
        <v>298</v>
      </c>
      <c r="F27" s="177" t="s">
        <v>299</v>
      </c>
      <c r="G27" s="56" t="s">
        <v>287</v>
      </c>
      <c r="H27" s="29"/>
    </row>
    <row r="28" spans="1:8">
      <c r="A28" s="45" t="s">
        <v>608</v>
      </c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75" t="s">
        <v>301</v>
      </c>
      <c r="B33" s="177"/>
      <c r="C33" s="177" t="s">
        <v>302</v>
      </c>
      <c r="D33" s="177" t="s">
        <v>303</v>
      </c>
      <c r="E33" s="85" t="s">
        <v>304</v>
      </c>
      <c r="F33" s="64" t="s">
        <v>286</v>
      </c>
      <c r="G33" s="176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0.438</v>
      </c>
      <c r="G34" s="67">
        <f>+E34*F34</f>
        <v>51704.096078893119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0.43345110701107015</v>
      </c>
      <c r="G35" s="67">
        <f>+E35*F35</f>
        <v>39737.789045033067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91441.885123926186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112156.0736363188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88"/>
      <c r="C42" s="188"/>
      <c r="D42" s="188"/>
      <c r="E42" s="189"/>
      <c r="F42" s="189" t="s">
        <v>308</v>
      </c>
      <c r="G42" s="18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16823.411045447821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5607.8036818159408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5607.8036818159408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28039.018409079705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140195</v>
      </c>
    </row>
  </sheetData>
  <mergeCells count="1">
    <mergeCell ref="A3:C4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topLeftCell="A19" workbookViewId="0">
      <selection activeCell="G9" sqref="G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72" t="s">
        <v>318</v>
      </c>
      <c r="B5" s="173"/>
      <c r="C5" s="174"/>
      <c r="D5" s="178"/>
      <c r="E5" s="179"/>
      <c r="F5" s="179"/>
      <c r="G5" s="179"/>
      <c r="H5" s="1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637</v>
      </c>
      <c r="H7" s="23"/>
    </row>
    <row r="8" spans="1:8">
      <c r="A8" s="22" t="s">
        <v>1127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75" t="s">
        <v>283</v>
      </c>
      <c r="B11" s="176"/>
      <c r="C11" s="177"/>
      <c r="D11" s="177" t="s">
        <v>284</v>
      </c>
      <c r="E11" s="27" t="s">
        <v>285</v>
      </c>
      <c r="F11" s="177" t="s">
        <v>286</v>
      </c>
      <c r="G11" s="17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1255.8733594239563</v>
      </c>
      <c r="H12" s="34"/>
    </row>
    <row r="13" spans="1:8">
      <c r="A13" s="181"/>
      <c r="B13" s="182"/>
      <c r="C13" s="183"/>
      <c r="D13" s="35"/>
      <c r="E13" s="36"/>
      <c r="F13" s="31"/>
      <c r="G13" s="33"/>
      <c r="H13" s="34"/>
    </row>
    <row r="14" spans="1:8">
      <c r="A14" s="181"/>
      <c r="B14" s="182"/>
      <c r="C14" s="183"/>
      <c r="D14" s="35"/>
      <c r="E14" s="36"/>
      <c r="F14" s="31"/>
      <c r="G14" s="33"/>
      <c r="H14" s="34"/>
    </row>
    <row r="15" spans="1:8">
      <c r="A15" s="181"/>
      <c r="B15" s="182"/>
      <c r="C15" s="183"/>
      <c r="D15" s="35"/>
      <c r="E15" s="36"/>
      <c r="F15" s="31"/>
      <c r="G15" s="33"/>
      <c r="H15" s="34"/>
    </row>
    <row r="16" spans="1:8" ht="15" thickBot="1">
      <c r="A16" s="184"/>
      <c r="B16" s="185"/>
      <c r="C16" s="1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1255.8733594239563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87" t="s">
        <v>283</v>
      </c>
      <c r="B19" s="188"/>
      <c r="C19" s="189"/>
      <c r="D19" s="189" t="s">
        <v>291</v>
      </c>
      <c r="E19" s="189" t="s">
        <v>292</v>
      </c>
      <c r="F19" s="460" t="s">
        <v>293</v>
      </c>
      <c r="G19" s="188" t="s">
        <v>287</v>
      </c>
      <c r="H19" s="29"/>
    </row>
    <row r="20" spans="1:8">
      <c r="A20" s="86" t="s">
        <v>970</v>
      </c>
      <c r="B20" s="46"/>
      <c r="C20" s="47"/>
      <c r="D20" s="30" t="s">
        <v>1</v>
      </c>
      <c r="E20" s="101">
        <f>+MATERIALES!E182</f>
        <v>31810.722222222223</v>
      </c>
      <c r="F20" s="120">
        <v>1</v>
      </c>
      <c r="G20" s="50">
        <f>+E20*F20</f>
        <v>31810.722222222223</v>
      </c>
      <c r="H20" s="34"/>
    </row>
    <row r="21" spans="1:8">
      <c r="A21" s="87"/>
      <c r="B21" s="88"/>
      <c r="C21" s="89"/>
      <c r="D21" s="30"/>
      <c r="E21" s="48"/>
      <c r="F21" s="32"/>
      <c r="G21" s="31"/>
      <c r="H21" s="21"/>
    </row>
    <row r="22" spans="1:8">
      <c r="A22" s="123"/>
      <c r="B22" s="124"/>
      <c r="C22" s="125"/>
      <c r="D22" s="126"/>
      <c r="E22" s="126"/>
      <c r="F22" s="126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31810.722222222223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75" t="s">
        <v>295</v>
      </c>
      <c r="B26" s="177"/>
      <c r="C26" s="55" t="s">
        <v>296</v>
      </c>
      <c r="D26" s="177" t="s">
        <v>297</v>
      </c>
      <c r="E26" s="177" t="s">
        <v>298</v>
      </c>
      <c r="F26" s="177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75" t="s">
        <v>301</v>
      </c>
      <c r="B32" s="177"/>
      <c r="C32" s="177" t="s">
        <v>302</v>
      </c>
      <c r="D32" s="177" t="s">
        <v>303</v>
      </c>
      <c r="E32" s="85" t="s">
        <v>304</v>
      </c>
      <c r="F32" s="64" t="s">
        <v>286</v>
      </c>
      <c r="G32" s="176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8.3333360541213874E-2</v>
      </c>
      <c r="G33" s="67">
        <f>+E33*F33</f>
        <v>4918.5799999999581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8.3337123497355045E-2</v>
      </c>
      <c r="G34" s="67">
        <f>+E34*F34</f>
        <v>7640.1535942396049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12558.733594239562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45625.329175885738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188"/>
      <c r="C41" s="188"/>
      <c r="D41" s="188"/>
      <c r="E41" s="189"/>
      <c r="F41" s="189" t="s">
        <v>308</v>
      </c>
      <c r="G41" s="18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6843.7993763828608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2281.2664587942868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2281.2664587942868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11406.332293971434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57032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topLeftCell="A25"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639</v>
      </c>
      <c r="H7" s="23"/>
    </row>
    <row r="8" spans="1:8">
      <c r="A8" s="22" t="s">
        <v>1105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1883.746326957883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1883.746326957883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971</v>
      </c>
      <c r="B20" s="46"/>
      <c r="C20" s="47"/>
      <c r="D20" s="30" t="s">
        <v>1</v>
      </c>
      <c r="E20" s="101">
        <f>+MATERIALES!E183</f>
        <v>43400.277777777781</v>
      </c>
      <c r="F20" s="31">
        <v>1</v>
      </c>
      <c r="G20" s="50">
        <f>+E20*F20</f>
        <v>43400.277777777781</v>
      </c>
      <c r="H20" s="34"/>
    </row>
    <row r="21" spans="1:8">
      <c r="A21" s="87"/>
      <c r="B21" s="88"/>
      <c r="C21" s="89"/>
      <c r="D21" s="35"/>
      <c r="E21" s="36"/>
      <c r="F21" s="49"/>
      <c r="G21" s="50"/>
      <c r="H21" s="34"/>
    </row>
    <row r="22" spans="1:8">
      <c r="A22" s="123"/>
      <c r="B22" s="124"/>
      <c r="C22" s="125"/>
      <c r="D22" s="126"/>
      <c r="E22" s="126"/>
      <c r="F22" s="126"/>
      <c r="G22" s="126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43400.277777777781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0.12500004081182237</v>
      </c>
      <c r="G33" s="67">
        <f>+E33*F33</f>
        <v>7377.8700000000281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0.12499873566107221</v>
      </c>
      <c r="G34" s="67">
        <f>+E34*F34</f>
        <v>11459.5932695788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18837.463269578828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64121.487374314485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9618.2231061471721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3206.0743687157246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3206.0743687157246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16030.371843578621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80152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topLeftCell="A16" workbookViewId="0">
      <selection activeCell="C33" sqref="C33:D3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640</v>
      </c>
      <c r="H7" s="23"/>
    </row>
    <row r="8" spans="1:8">
      <c r="A8" s="22" t="s">
        <v>1106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2009.2965245749344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2009.2965245749344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972</v>
      </c>
      <c r="B20" s="46"/>
      <c r="C20" s="47"/>
      <c r="D20" s="100" t="s">
        <v>1</v>
      </c>
      <c r="E20" s="98">
        <f>+MATERIALES!E184</f>
        <v>63450.333333333336</v>
      </c>
      <c r="F20" s="434">
        <v>1</v>
      </c>
      <c r="G20" s="50">
        <f>+E20*F20</f>
        <v>63450.333333333336</v>
      </c>
      <c r="H20" s="34"/>
    </row>
    <row r="21" spans="1:8">
      <c r="A21" s="86"/>
      <c r="B21" s="46"/>
      <c r="C21" s="47"/>
      <c r="D21" s="30"/>
      <c r="E21" s="101"/>
      <c r="F21" s="416"/>
      <c r="G21" s="50"/>
      <c r="H21" s="34"/>
    </row>
    <row r="22" spans="1:8">
      <c r="A22" s="87"/>
      <c r="B22" s="88"/>
      <c r="C22" s="89"/>
      <c r="D22" s="90"/>
      <c r="E22" s="91"/>
      <c r="F22" s="461"/>
      <c r="G22" s="50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63450.333333333336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0.13333341075107308</v>
      </c>
      <c r="G33" s="67">
        <f>+E33*F33</f>
        <v>7869.7300000000041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0.13332837522798752</v>
      </c>
      <c r="G34" s="67">
        <f>+E34*F34</f>
        <v>12223.235245749338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20092.965245749343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85552.595103657615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12832.889265548642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4277.6297551828811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4277.6297551828811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21388.148775914407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106941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641</v>
      </c>
      <c r="H7" s="23"/>
    </row>
    <row r="8" spans="1:8">
      <c r="A8" s="22" t="s">
        <v>1104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2318.4971134417901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2318.4971134417901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973</v>
      </c>
      <c r="B20" s="46"/>
      <c r="C20" s="47"/>
      <c r="D20" s="100" t="s">
        <v>1</v>
      </c>
      <c r="E20" s="98">
        <f>+MATERIALES!E185</f>
        <v>93813.333333333328</v>
      </c>
      <c r="F20" s="122">
        <v>1</v>
      </c>
      <c r="G20" s="96">
        <f>+E20*F20</f>
        <v>93813.333333333328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93813.333333333328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0.1598246376811594</v>
      </c>
      <c r="G33" s="67">
        <f>+E33*F33</f>
        <v>9433.3201169417207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0.15</v>
      </c>
      <c r="G34" s="67">
        <f>+E34*F34</f>
        <v>13751.651017476181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23184.971134417901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119316.80158119302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17897.520237178953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5965.8400790596515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5965.8400790596515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29829.200395298256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149146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584" t="s">
        <v>318</v>
      </c>
      <c r="B5" s="585"/>
      <c r="C5" s="586"/>
      <c r="D5" s="590"/>
      <c r="E5" s="591"/>
      <c r="F5" s="591"/>
      <c r="G5" s="591"/>
      <c r="H5" s="59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642</v>
      </c>
      <c r="H7" s="23"/>
    </row>
    <row r="8" spans="1:8">
      <c r="A8" s="22" t="s">
        <v>480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587" t="s">
        <v>283</v>
      </c>
      <c r="B11" s="588"/>
      <c r="C11" s="589"/>
      <c r="D11" s="589" t="s">
        <v>284</v>
      </c>
      <c r="E11" s="27" t="s">
        <v>285</v>
      </c>
      <c r="F11" s="589" t="s">
        <v>286</v>
      </c>
      <c r="G11" s="58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3057.6227553090366</v>
      </c>
      <c r="H12" s="34"/>
    </row>
    <row r="13" spans="1:8">
      <c r="A13" s="593"/>
      <c r="B13" s="594"/>
      <c r="C13" s="595"/>
      <c r="D13" s="35"/>
      <c r="E13" s="36"/>
      <c r="F13" s="31"/>
      <c r="G13" s="33"/>
      <c r="H13" s="34"/>
    </row>
    <row r="14" spans="1:8">
      <c r="A14" s="593"/>
      <c r="B14" s="594"/>
      <c r="C14" s="595"/>
      <c r="D14" s="35"/>
      <c r="E14" s="36"/>
      <c r="F14" s="31"/>
      <c r="G14" s="33"/>
      <c r="H14" s="34"/>
    </row>
    <row r="15" spans="1:8">
      <c r="A15" s="593"/>
      <c r="B15" s="594"/>
      <c r="C15" s="595"/>
      <c r="D15" s="35"/>
      <c r="E15" s="36"/>
      <c r="F15" s="31"/>
      <c r="G15" s="33"/>
      <c r="H15" s="34"/>
    </row>
    <row r="16" spans="1:8" ht="15" thickBot="1">
      <c r="A16" s="596"/>
      <c r="B16" s="597"/>
      <c r="C16" s="59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3057.6227553090366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599" t="s">
        <v>283</v>
      </c>
      <c r="B19" s="600"/>
      <c r="C19" s="601"/>
      <c r="D19" s="601" t="s">
        <v>291</v>
      </c>
      <c r="E19" s="601" t="s">
        <v>292</v>
      </c>
      <c r="F19" s="601" t="s">
        <v>293</v>
      </c>
      <c r="G19" s="600" t="s">
        <v>287</v>
      </c>
      <c r="H19" s="29"/>
    </row>
    <row r="20" spans="1:8">
      <c r="A20" s="86" t="s">
        <v>1102</v>
      </c>
      <c r="B20" s="46"/>
      <c r="C20" s="47"/>
      <c r="D20" s="100" t="s">
        <v>1</v>
      </c>
      <c r="E20" s="98">
        <f>+MATERIALES!E186</f>
        <v>134349.44444444447</v>
      </c>
      <c r="F20" s="122">
        <v>1</v>
      </c>
      <c r="G20" s="96">
        <f>+E20*F20</f>
        <v>134349.44444444447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134349.44444444447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587" t="s">
        <v>295</v>
      </c>
      <c r="B26" s="589"/>
      <c r="C26" s="55" t="s">
        <v>296</v>
      </c>
      <c r="D26" s="589" t="s">
        <v>297</v>
      </c>
      <c r="E26" s="589" t="s">
        <v>298</v>
      </c>
      <c r="F26" s="58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587" t="s">
        <v>301</v>
      </c>
      <c r="B32" s="589"/>
      <c r="C32" s="589" t="s">
        <v>302</v>
      </c>
      <c r="D32" s="589" t="s">
        <v>303</v>
      </c>
      <c r="E32" s="85" t="s">
        <v>304</v>
      </c>
      <c r="F32" s="64" t="s">
        <v>286</v>
      </c>
      <c r="G32" s="58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0.27907420058138055</v>
      </c>
      <c r="G33" s="67">
        <f>+E33*F33</f>
        <v>16471.779999999988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0.15384822740737653</v>
      </c>
      <c r="G34" s="67">
        <f>+E34*F34</f>
        <v>14104.447553090376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30576.227553090364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167983.29475284388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600"/>
      <c r="C41" s="600"/>
      <c r="D41" s="600"/>
      <c r="E41" s="601"/>
      <c r="F41" s="601" t="s">
        <v>308</v>
      </c>
      <c r="G41" s="60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25197.49421292658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8399.1647376421952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8399.1647376421952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41995.82368821097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209979</v>
      </c>
    </row>
  </sheetData>
  <mergeCells count="1">
    <mergeCell ref="A3:C4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topLeftCell="A22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643</v>
      </c>
      <c r="H7" s="23"/>
    </row>
    <row r="8" spans="1:8">
      <c r="A8" s="22" t="s">
        <v>1107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3495.4035373073925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3495.4035373073925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974</v>
      </c>
      <c r="B20" s="46"/>
      <c r="C20" s="47"/>
      <c r="D20" s="100" t="s">
        <v>1</v>
      </c>
      <c r="E20" s="98">
        <f>+MATERIALES!E187</f>
        <v>164416.83333333334</v>
      </c>
      <c r="F20" s="96">
        <v>1</v>
      </c>
      <c r="G20" s="96">
        <f>+E20*F20</f>
        <v>164416.83333333334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164416.83333333334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0.16666663636960477</v>
      </c>
      <c r="G33" s="67">
        <f>+E33*F33</f>
        <v>19674.309999999972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0.16666790067958925</v>
      </c>
      <c r="G34" s="67">
        <f>+E34*F34</f>
        <v>15279.725373073952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34954.035373073923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202866.27224371466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30429.940836557198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10143.313612185733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10143.313612185733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50716.568060928665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253583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644</v>
      </c>
      <c r="H7" s="23"/>
    </row>
    <row r="8" spans="1:8">
      <c r="A8" s="22" t="s">
        <v>1108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3813.1705908966792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3813.1705908966792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975</v>
      </c>
      <c r="B20" s="46"/>
      <c r="C20" s="47"/>
      <c r="D20" s="100" t="s">
        <v>1</v>
      </c>
      <c r="E20" s="98">
        <f>+MATERIALES!E188</f>
        <v>212344.38888888891</v>
      </c>
      <c r="F20" s="122">
        <v>1</v>
      </c>
      <c r="G20" s="96">
        <f>+E20*F20</f>
        <v>212344.38888888891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212344.38888888891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0.18181820267500304</v>
      </c>
      <c r="G33" s="67">
        <f>+E33*F33</f>
        <v>21462.890000000043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0.18181979626791689</v>
      </c>
      <c r="G34" s="67">
        <f>+E34*F34</f>
        <v>16668.815908966742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38131.705908966789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254289.26538875239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38143.389808312859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12714.46326943762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12714.46326943762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63572.316347188098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317862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47"/>
  <sheetViews>
    <sheetView topLeftCell="A19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1748</v>
      </c>
      <c r="H7" s="23"/>
    </row>
    <row r="8" spans="1:8">
      <c r="A8" s="22" t="s">
        <v>1109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4194.4896507863041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4194.4896507863041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976</v>
      </c>
      <c r="B20" s="46"/>
      <c r="C20" s="47"/>
      <c r="D20" s="100" t="s">
        <v>1</v>
      </c>
      <c r="E20" s="98">
        <f>+MATERIALES!E189</f>
        <v>276834.22222222219</v>
      </c>
      <c r="F20" s="96">
        <v>1</v>
      </c>
      <c r="G20" s="96">
        <f>+E20*F20</f>
        <v>276834.22222222219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276834.22222222219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0.20000003141378531</v>
      </c>
      <c r="G33" s="67">
        <f>+E33*F33</f>
        <v>23609.179999999997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0.200001983229809</v>
      </c>
      <c r="G34" s="67">
        <f>+E34*F34</f>
        <v>18335.716507863046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41944.896507863043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322973.60838087159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48446.041257130739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16148.68041904358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16148.68041904358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80743.402095217898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403717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topLeftCell="A22"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645</v>
      </c>
      <c r="H7" s="23"/>
    </row>
    <row r="8" spans="1:8">
      <c r="A8" s="22" t="s">
        <v>1111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2034.4513146789266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2034.4513146789266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971</v>
      </c>
      <c r="B20" s="46"/>
      <c r="C20" s="47"/>
      <c r="D20" s="100" t="s">
        <v>1</v>
      </c>
      <c r="E20" s="98">
        <f>+MATERIALES!E183</f>
        <v>43400.277777777781</v>
      </c>
      <c r="F20" s="96">
        <v>1</v>
      </c>
      <c r="G20" s="96">
        <f>+E20*F20</f>
        <v>43400.277777777781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43400.277777777781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0.14276509259259257</v>
      </c>
      <c r="G33" s="67">
        <f>+E33*F33</f>
        <v>8426.4155983099081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0.13</v>
      </c>
      <c r="G34" s="67">
        <f>+E34*F34</f>
        <v>11918.097548479358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20344.513146789264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65779.24223924597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9866.8863358868948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3288.9621119622989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3288.9621119622989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16444.810559811493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82224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L48"/>
  <sheetViews>
    <sheetView topLeftCell="A34" workbookViewId="0">
      <selection activeCell="L40" sqref="L40"/>
    </sheetView>
  </sheetViews>
  <sheetFormatPr baseColWidth="10" defaultRowHeight="14.4"/>
  <cols>
    <col min="12" max="12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358</v>
      </c>
      <c r="B7" s="24"/>
      <c r="C7" s="23"/>
      <c r="D7" s="2"/>
      <c r="E7" s="24"/>
      <c r="F7" s="2"/>
      <c r="G7" s="24" t="s">
        <v>350</v>
      </c>
      <c r="H7" s="23"/>
    </row>
    <row r="8" spans="1:8">
      <c r="A8" s="22" t="s">
        <v>348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1053</v>
      </c>
      <c r="B12" s="1192"/>
      <c r="C12" s="1193"/>
      <c r="D12" s="30"/>
      <c r="E12" s="48"/>
      <c r="F12" s="120"/>
      <c r="G12" s="33">
        <f>H38*10%</f>
        <v>1069.866648679259</v>
      </c>
      <c r="H12" s="34"/>
    </row>
    <row r="13" spans="1:8">
      <c r="A13" s="123"/>
      <c r="B13" s="124"/>
      <c r="C13" s="125"/>
      <c r="D13" s="126"/>
      <c r="E13" s="126"/>
      <c r="F13" s="126"/>
      <c r="G13" s="12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1069.866648679259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2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12">
      <c r="A34" s="45" t="s">
        <v>807</v>
      </c>
      <c r="B34" s="46"/>
      <c r="C34" s="65">
        <f>+SALARIOS!C48</f>
        <v>32688.566666666666</v>
      </c>
      <c r="D34" s="66">
        <f>+SALARIOS!D48</f>
        <v>1.8056142176927319</v>
      </c>
      <c r="E34" s="31">
        <f>(C34*D34)</f>
        <v>59022.940729330046</v>
      </c>
      <c r="F34" s="59">
        <v>6.86443143162834E-2</v>
      </c>
      <c r="G34" s="67">
        <f>E34*F34</f>
        <v>4051.5892952954973</v>
      </c>
      <c r="H34" s="34"/>
    </row>
    <row r="35" spans="1:12">
      <c r="A35" s="45" t="s">
        <v>403</v>
      </c>
      <c r="B35" s="46"/>
      <c r="C35" s="65">
        <f>SALARIOS!C49</f>
        <v>53170.636666666665</v>
      </c>
      <c r="D35" s="66">
        <f>+SALARIOS!D49</f>
        <v>1.724216206485921</v>
      </c>
      <c r="E35" s="31">
        <f>(C35*D35)</f>
        <v>91677.673449841212</v>
      </c>
      <c r="F35" s="59">
        <v>7.2504863412942627E-2</v>
      </c>
      <c r="G35" s="67">
        <f>E35*F35</f>
        <v>6647.0771914970937</v>
      </c>
      <c r="H35" s="34"/>
    </row>
    <row r="36" spans="1:12">
      <c r="A36" s="45"/>
      <c r="B36" s="46"/>
      <c r="C36" s="65"/>
      <c r="D36" s="66"/>
      <c r="E36" s="31"/>
      <c r="F36" s="31"/>
      <c r="G36" s="67"/>
      <c r="H36" s="34"/>
    </row>
    <row r="37" spans="1:12" ht="15" thickBot="1">
      <c r="A37" s="62"/>
      <c r="B37" s="68"/>
      <c r="C37" s="39"/>
      <c r="D37" s="53"/>
      <c r="E37" s="102"/>
      <c r="F37" s="53"/>
      <c r="G37" s="52"/>
      <c r="H37" s="42"/>
    </row>
    <row r="38" spans="1:12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10698.66648679259</v>
      </c>
      <c r="J38" s="807"/>
      <c r="K38" s="807"/>
      <c r="L38" s="807"/>
    </row>
    <row r="39" spans="1:12" ht="15" thickBot="1">
      <c r="A39" s="23"/>
      <c r="B39" s="23"/>
      <c r="C39" s="23"/>
      <c r="D39" s="23"/>
      <c r="E39" s="23"/>
      <c r="F39" s="23"/>
      <c r="G39" s="69"/>
      <c r="H39" s="20"/>
      <c r="L39" s="807"/>
    </row>
    <row r="40" spans="1:12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11768.533135471849</v>
      </c>
    </row>
    <row r="41" spans="1:12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2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12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1765.2799703207772</v>
      </c>
      <c r="H43" s="79"/>
    </row>
    <row r="44" spans="1:12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588.42665677359253</v>
      </c>
      <c r="H44" s="79"/>
    </row>
    <row r="45" spans="1:12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588.42665677359253</v>
      </c>
      <c r="H45" s="42"/>
    </row>
    <row r="46" spans="1:12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2942.1332838679623</v>
      </c>
    </row>
    <row r="47" spans="1:12" ht="15" thickBot="1">
      <c r="A47" s="23"/>
      <c r="B47" s="23"/>
      <c r="C47" s="23"/>
      <c r="D47" s="23"/>
      <c r="E47" s="23"/>
      <c r="F47" s="23"/>
      <c r="G47" s="23"/>
      <c r="H47" s="23"/>
    </row>
    <row r="48" spans="1:12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14711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topLeftCell="A19" workbookViewId="0">
      <selection activeCell="D18" sqref="D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646</v>
      </c>
      <c r="H7" s="23"/>
    </row>
    <row r="8" spans="1:8">
      <c r="A8" s="22" t="s">
        <v>1110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2170.0241397042532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2170.0241397042532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972</v>
      </c>
      <c r="B20" s="46"/>
      <c r="C20" s="47"/>
      <c r="D20" s="100" t="s">
        <v>1</v>
      </c>
      <c r="E20" s="98">
        <f>+MATERIALES!E184</f>
        <v>63450.333333333336</v>
      </c>
      <c r="F20" s="96">
        <v>1</v>
      </c>
      <c r="G20" s="96">
        <f>+E20*F20</f>
        <v>63450.333333333336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63450.333333333336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0.16055708644712399</v>
      </c>
      <c r="G33" s="67">
        <f>+E33*F33</f>
        <v>9476.55139704252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0.13333333558783922</v>
      </c>
      <c r="G34" s="67">
        <f>+E34*F34</f>
        <v>12223.690000000015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21700.241397042533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87320.59887008011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13098.089830512015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4366.029943504006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4366.029943504006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21830.149717520027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109151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647</v>
      </c>
      <c r="H7" s="23"/>
    </row>
    <row r="8" spans="1:8">
      <c r="A8" s="22" t="s">
        <v>1114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2503.9489048103515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2503.9489048103515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973</v>
      </c>
      <c r="B20" s="46"/>
      <c r="C20" s="47"/>
      <c r="D20" s="100" t="s">
        <v>1</v>
      </c>
      <c r="E20" s="98">
        <f>+MATERIALES!E185</f>
        <v>93813.333333333328</v>
      </c>
      <c r="F20" s="122">
        <v>1</v>
      </c>
      <c r="G20" s="96">
        <f>+E20*F20</f>
        <v>93813.333333333328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93813.333333333328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0.11358209139132436</v>
      </c>
      <c r="G33" s="67">
        <f>+E33*F33</f>
        <v>6703.9490481034863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0.20000005792066466</v>
      </c>
      <c r="G34" s="67">
        <f>+E34*F34</f>
        <v>18335.540000000023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25039.489048103511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121356.7712862472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18203.515692937079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6067.8385643123602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6067.8385643123602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30339.192821561803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151696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topLeftCell="A22" workbookViewId="0">
      <selection activeCell="B16" sqref="B1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584" t="s">
        <v>318</v>
      </c>
      <c r="B5" s="585"/>
      <c r="C5" s="586"/>
      <c r="D5" s="590"/>
      <c r="E5" s="591"/>
      <c r="F5" s="591"/>
      <c r="G5" s="591"/>
      <c r="H5" s="59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648</v>
      </c>
      <c r="H7" s="23"/>
    </row>
    <row r="8" spans="1:8">
      <c r="A8" s="22" t="s">
        <v>1101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587" t="s">
        <v>283</v>
      </c>
      <c r="B11" s="588"/>
      <c r="C11" s="589"/>
      <c r="D11" s="589" t="s">
        <v>284</v>
      </c>
      <c r="E11" s="27" t="s">
        <v>285</v>
      </c>
      <c r="F11" s="589" t="s">
        <v>286</v>
      </c>
      <c r="G11" s="58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3302.1878665283411</v>
      </c>
      <c r="H12" s="34"/>
    </row>
    <row r="13" spans="1:8">
      <c r="A13" s="593"/>
      <c r="B13" s="594"/>
      <c r="C13" s="595"/>
      <c r="D13" s="35"/>
      <c r="E13" s="36"/>
      <c r="F13" s="31"/>
      <c r="G13" s="33"/>
      <c r="H13" s="34"/>
    </row>
    <row r="14" spans="1:8">
      <c r="A14" s="593"/>
      <c r="B14" s="594"/>
      <c r="C14" s="595"/>
      <c r="D14" s="35"/>
      <c r="E14" s="36"/>
      <c r="F14" s="31"/>
      <c r="G14" s="33"/>
      <c r="H14" s="34"/>
    </row>
    <row r="15" spans="1:8">
      <c r="A15" s="593"/>
      <c r="B15" s="594"/>
      <c r="C15" s="595"/>
      <c r="D15" s="35"/>
      <c r="E15" s="36"/>
      <c r="F15" s="31"/>
      <c r="G15" s="33"/>
      <c r="H15" s="34"/>
    </row>
    <row r="16" spans="1:8" ht="15" thickBot="1">
      <c r="A16" s="596"/>
      <c r="B16" s="597"/>
      <c r="C16" s="59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3302.1878665283411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599" t="s">
        <v>283</v>
      </c>
      <c r="B19" s="600"/>
      <c r="C19" s="601"/>
      <c r="D19" s="601" t="s">
        <v>291</v>
      </c>
      <c r="E19" s="601" t="s">
        <v>292</v>
      </c>
      <c r="F19" s="601" t="s">
        <v>293</v>
      </c>
      <c r="G19" s="600" t="s">
        <v>287</v>
      </c>
      <c r="H19" s="29"/>
    </row>
    <row r="20" spans="1:8">
      <c r="A20" s="86" t="s">
        <v>1102</v>
      </c>
      <c r="B20" s="46"/>
      <c r="C20" s="47"/>
      <c r="D20" s="100" t="s">
        <v>1</v>
      </c>
      <c r="E20" s="98">
        <f>+MATERIALES!E185</f>
        <v>93813.333333333328</v>
      </c>
      <c r="F20" s="122">
        <v>1</v>
      </c>
      <c r="G20" s="96">
        <f>+E20*F20</f>
        <v>93813.333333333328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93813.333333333328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587" t="s">
        <v>295</v>
      </c>
      <c r="B26" s="589"/>
      <c r="C26" s="55" t="s">
        <v>296</v>
      </c>
      <c r="D26" s="589" t="s">
        <v>297</v>
      </c>
      <c r="E26" s="589" t="s">
        <v>298</v>
      </c>
      <c r="F26" s="58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587" t="s">
        <v>301</v>
      </c>
      <c r="B32" s="589"/>
      <c r="C32" s="589" t="s">
        <v>302</v>
      </c>
      <c r="D32" s="589" t="s">
        <v>303</v>
      </c>
      <c r="E32" s="85" t="s">
        <v>304</v>
      </c>
      <c r="F32" s="64" t="s">
        <v>286</v>
      </c>
      <c r="G32" s="588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0.27</v>
      </c>
      <c r="G33" s="67">
        <f>+E33*F33</f>
        <v>15936.193996919113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0.18636690947128184</v>
      </c>
      <c r="G34" s="67">
        <f>+E34*F34</f>
        <v>17085.684668364294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33021.87866528341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130137.39986514508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600"/>
      <c r="C41" s="600"/>
      <c r="D41" s="600"/>
      <c r="E41" s="601"/>
      <c r="F41" s="601" t="s">
        <v>308</v>
      </c>
      <c r="G41" s="60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19520.609979771762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6506.8699932572545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6506.8699932572545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32534.349966286274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162672</v>
      </c>
    </row>
  </sheetData>
  <mergeCells count="1">
    <mergeCell ref="A3:C4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649</v>
      </c>
      <c r="H7" s="23"/>
    </row>
    <row r="8" spans="1:8">
      <c r="A8" s="22" t="s">
        <v>511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3775.0748248129366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3775.0748248129366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974</v>
      </c>
      <c r="B20" s="46"/>
      <c r="C20" s="47"/>
      <c r="D20" s="100" t="s">
        <v>1</v>
      </c>
      <c r="E20" s="98">
        <f>+MATERIALES!E187</f>
        <v>164416.83333333334</v>
      </c>
      <c r="F20" s="96">
        <v>1</v>
      </c>
      <c r="G20" s="96">
        <f>+E20*F20</f>
        <v>164416.83333333334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164416.83333333334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0.17</v>
      </c>
      <c r="G33" s="67">
        <f>+E33*F33</f>
        <v>20067.799847972216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0.19288173155737706</v>
      </c>
      <c r="G34" s="67">
        <f>+E34*F34</f>
        <v>17682.948400157147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37750.748248129363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205942.65640627564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30891.398460941346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10297.132820313782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10297.132820313782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51485.664101568909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257428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650</v>
      </c>
      <c r="H7" s="23"/>
    </row>
    <row r="8" spans="1:8">
      <c r="A8" s="22" t="s">
        <v>1119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4118.1951973676232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4118.1951973676232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975</v>
      </c>
      <c r="B20" s="46"/>
      <c r="C20" s="47"/>
      <c r="D20" s="100" t="s">
        <v>1</v>
      </c>
      <c r="E20" s="98">
        <f>+MATERIALES!E188</f>
        <v>212344.38888888891</v>
      </c>
      <c r="F20" s="96">
        <v>1</v>
      </c>
      <c r="G20" s="96">
        <f>+E20*F20</f>
        <v>212344.38888888891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212344.38888888891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0.19353845302691777</v>
      </c>
      <c r="G33" s="67">
        <f>+E33*F33</f>
        <v>22846.41728370799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</v>
      </c>
      <c r="G34" s="67">
        <f>+E34*F34</f>
        <v>18335.534689968244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41181.95197367623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257644.53605993278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38646.680408989916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12882.22680299664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12882.22680299664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64411.134014983196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322056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638</v>
      </c>
      <c r="B7" s="24"/>
      <c r="C7" s="23"/>
      <c r="D7" s="2"/>
      <c r="E7" s="24"/>
      <c r="F7" s="2"/>
      <c r="G7" s="24" t="s">
        <v>1749</v>
      </c>
      <c r="H7" s="23"/>
    </row>
    <row r="8" spans="1:8">
      <c r="A8" s="22" t="s">
        <v>1121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4530.0428066122286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4530.0428066122286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976</v>
      </c>
      <c r="B20" s="46"/>
      <c r="C20" s="47"/>
      <c r="D20" s="100" t="s">
        <v>1</v>
      </c>
      <c r="E20" s="98">
        <f>+MATERIALES!E189</f>
        <v>276834.22222222219</v>
      </c>
      <c r="F20" s="96">
        <v>1</v>
      </c>
      <c r="G20" s="96">
        <f>+E20*F20</f>
        <v>276834.22222222219</v>
      </c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276834.22222222219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 t="s">
        <v>608</v>
      </c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0.21289467787114844</v>
      </c>
      <c r="G33" s="67">
        <f>+E33*F33</f>
        <v>25131.339907157213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0.22</v>
      </c>
      <c r="G34" s="67">
        <f>+E34*F34</f>
        <v>20169.088158965067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45300.42806612228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326664.69309495669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48999.703964243505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16333.234654747836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16333.234654747836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81666.173273739172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408331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7"/>
  <sheetViews>
    <sheetView workbookViewId="0">
      <selection activeCell="E21" sqref="E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651</v>
      </c>
      <c r="H7" s="23"/>
    </row>
    <row r="8" spans="1:8">
      <c r="A8" s="22" t="s">
        <v>616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4710.1498981621635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4710.1498981621635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978</v>
      </c>
      <c r="B20" s="46"/>
      <c r="C20" s="47"/>
      <c r="D20" s="100" t="s">
        <v>1</v>
      </c>
      <c r="E20" s="98">
        <f>+MATERIALES!E190</f>
        <v>393113.84615384619</v>
      </c>
      <c r="F20" s="96">
        <v>1</v>
      </c>
      <c r="G20" s="50">
        <f>+E20*F20</f>
        <v>393113.84615384619</v>
      </c>
      <c r="H20" s="34"/>
    </row>
    <row r="21" spans="1:8">
      <c r="A21" s="86" t="s">
        <v>1438</v>
      </c>
      <c r="B21" s="46"/>
      <c r="C21" s="47"/>
      <c r="D21" s="30" t="s">
        <v>139</v>
      </c>
      <c r="E21" s="101">
        <f>MATERIALES!E56</f>
        <v>20656</v>
      </c>
      <c r="F21" s="32">
        <v>3.2000000000000001E-2</v>
      </c>
      <c r="G21" s="33">
        <f>+E21*F21</f>
        <v>660.99199999999996</v>
      </c>
      <c r="H21" s="34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393774.83815384621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0.22643017841635249</v>
      </c>
      <c r="G33" s="67">
        <f>+E33*F33</f>
        <v>26729.15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0.22221712457360487</v>
      </c>
      <c r="G34" s="67">
        <f>+E34*F34</f>
        <v>20372.348981621632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47101.498981621633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445586.48703363002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66837.973055044495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22279.324351681502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22279.324351681502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111396.62175840749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556983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7"/>
  <sheetViews>
    <sheetView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654</v>
      </c>
      <c r="H7" s="23"/>
    </row>
    <row r="8" spans="1:8">
      <c r="A8" s="22" t="s">
        <v>618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5243.0721089837061</v>
      </c>
      <c r="H12" s="34"/>
    </row>
    <row r="13" spans="1:8">
      <c r="A13" s="200"/>
      <c r="B13" s="201"/>
      <c r="C13" s="202"/>
      <c r="D13" s="35"/>
      <c r="E13" s="36"/>
      <c r="F13" s="31"/>
      <c r="G13" s="33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 ht="15" thickBot="1">
      <c r="A16" s="203"/>
      <c r="B16" s="204"/>
      <c r="C16" s="20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5243.0721089837061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09" t="s">
        <v>283</v>
      </c>
      <c r="B19" s="210"/>
      <c r="C19" s="211"/>
      <c r="D19" s="211" t="s">
        <v>291</v>
      </c>
      <c r="E19" s="211" t="s">
        <v>292</v>
      </c>
      <c r="F19" s="211" t="s">
        <v>293</v>
      </c>
      <c r="G19" s="210" t="s">
        <v>287</v>
      </c>
      <c r="H19" s="29"/>
    </row>
    <row r="20" spans="1:8">
      <c r="A20" s="86" t="s">
        <v>979</v>
      </c>
      <c r="B20" s="46"/>
      <c r="C20" s="47"/>
      <c r="D20" s="100" t="s">
        <v>1</v>
      </c>
      <c r="E20" s="98">
        <f>+MATERIALES!E191</f>
        <v>450863.84615384619</v>
      </c>
      <c r="F20" s="96">
        <v>1</v>
      </c>
      <c r="G20" s="50">
        <f>+E20*F20</f>
        <v>450863.84615384619</v>
      </c>
      <c r="H20" s="34"/>
    </row>
    <row r="21" spans="1:8">
      <c r="A21" s="86" t="s">
        <v>1438</v>
      </c>
      <c r="B21" s="46"/>
      <c r="C21" s="47"/>
      <c r="D21" s="30" t="s">
        <v>139</v>
      </c>
      <c r="E21" s="101">
        <f>MATERIALES!E56</f>
        <v>20656</v>
      </c>
      <c r="F21" s="32">
        <v>3.5999999999999997E-2</v>
      </c>
      <c r="G21" s="33">
        <f>+E21*F21</f>
        <v>743.61599999999999</v>
      </c>
      <c r="H21" s="34"/>
    </row>
    <row r="22" spans="1:8">
      <c r="A22" s="87"/>
      <c r="B22" s="88"/>
      <c r="C22" s="89"/>
      <c r="D22" s="90"/>
      <c r="E22" s="91"/>
      <c r="F22" s="92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451607.46215384617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97" t="s">
        <v>295</v>
      </c>
      <c r="B26" s="199"/>
      <c r="C26" s="55" t="s">
        <v>296</v>
      </c>
      <c r="D26" s="199" t="s">
        <v>297</v>
      </c>
      <c r="E26" s="199" t="s">
        <v>298</v>
      </c>
      <c r="F26" s="1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97" t="s">
        <v>301</v>
      </c>
      <c r="B32" s="199"/>
      <c r="C32" s="199" t="s">
        <v>302</v>
      </c>
      <c r="D32" s="199" t="s">
        <v>303</v>
      </c>
      <c r="E32" s="85" t="s">
        <v>304</v>
      </c>
      <c r="F32" s="64" t="s">
        <v>286</v>
      </c>
      <c r="G32" s="19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0.25000008162364395</v>
      </c>
      <c r="G33" s="67">
        <f>+E33*F33</f>
        <v>29511.480000000021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0.24999806634901833</v>
      </c>
      <c r="G34" s="67">
        <f>+E34*F34</f>
        <v>22919.24108983704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52430.721089837061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509281.25535266695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10"/>
      <c r="C41" s="210"/>
      <c r="D41" s="210"/>
      <c r="E41" s="211"/>
      <c r="F41" s="211" t="s">
        <v>308</v>
      </c>
      <c r="G41" s="2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76392.188302900046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25464.06276763335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25464.06276763335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127320.31383816675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636602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8"/>
  <sheetViews>
    <sheetView workbookViewId="0">
      <selection activeCell="A23" sqref="A2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656</v>
      </c>
      <c r="H7" s="23"/>
    </row>
    <row r="8" spans="1:8">
      <c r="A8" s="22" t="s">
        <v>620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86" t="s">
        <v>6</v>
      </c>
      <c r="B12" s="212"/>
      <c r="C12" s="21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5992.078350159285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17562.078350159285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980</v>
      </c>
      <c r="B21" s="46"/>
      <c r="C21" s="47"/>
      <c r="D21" s="100" t="s">
        <v>1</v>
      </c>
      <c r="E21" s="98">
        <f>+MATERIALES!E192</f>
        <v>587329.5384615385</v>
      </c>
      <c r="F21" s="96">
        <v>1</v>
      </c>
      <c r="G21" s="96">
        <f>+E21*F21</f>
        <v>587329.5384615385</v>
      </c>
      <c r="H21" s="21"/>
    </row>
    <row r="22" spans="1:8">
      <c r="A22" s="86" t="s">
        <v>1438</v>
      </c>
      <c r="B22" s="46"/>
      <c r="C22" s="47"/>
      <c r="D22" s="30" t="s">
        <v>139</v>
      </c>
      <c r="E22" s="101">
        <f>MATERIALES!E56</f>
        <v>20656</v>
      </c>
      <c r="F22" s="32">
        <v>3.7999999999999999E-2</v>
      </c>
      <c r="G22" s="33">
        <f>+E22*F22</f>
        <v>784.928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588114.46646153845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0.28571433059112183</v>
      </c>
      <c r="G34" s="67">
        <f>+E34*F34</f>
        <v>33727.399999999987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0.28571169528995305</v>
      </c>
      <c r="G35" s="67">
        <f>+E35*F35</f>
        <v>26193.383501592853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59920.783501592843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665597.32831329061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99839.599246993588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33279.866415664532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33279.866415664532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166399.33207832265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831997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8"/>
  <sheetViews>
    <sheetView workbookViewId="0">
      <selection activeCell="A23" sqref="A2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658</v>
      </c>
      <c r="H7" s="23"/>
    </row>
    <row r="8" spans="1:8">
      <c r="A8" s="22" t="s">
        <v>622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93" t="s">
        <v>6</v>
      </c>
      <c r="B12" s="212"/>
      <c r="C12" s="21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6990.8153473498014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18560.815347349802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981</v>
      </c>
      <c r="B21" s="46"/>
      <c r="C21" s="47"/>
      <c r="D21" s="100" t="s">
        <v>1</v>
      </c>
      <c r="E21" s="98">
        <f>+MATERIALES!E193</f>
        <v>741746.1025641025</v>
      </c>
      <c r="F21" s="96">
        <v>1</v>
      </c>
      <c r="G21" s="96">
        <f>+E21*F21</f>
        <v>741746.1025641025</v>
      </c>
      <c r="H21" s="21"/>
    </row>
    <row r="22" spans="1:8">
      <c r="A22" s="86" t="s">
        <v>1438</v>
      </c>
      <c r="B22" s="46"/>
      <c r="C22" s="47"/>
      <c r="D22" s="30" t="s">
        <v>139</v>
      </c>
      <c r="E22" s="101">
        <f>MATERIALES!E56</f>
        <v>20656</v>
      </c>
      <c r="F22" s="32">
        <v>0.04</v>
      </c>
      <c r="G22" s="33">
        <f>+E22*F22</f>
        <v>826.24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742572.3425641025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0.33333335745203407</v>
      </c>
      <c r="G34" s="67">
        <f>+E34*F34</f>
        <v>39348.629999999983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0.33333659465319865</v>
      </c>
      <c r="G35" s="67">
        <f>+E35*F35</f>
        <v>30559.523473498033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69908.153473498009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831041.3113849503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124656.19670774254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41552.065569247519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41552.065569247519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207760.32784623757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1038802</v>
      </c>
    </row>
  </sheetData>
  <mergeCells count="1">
    <mergeCell ref="A3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S69"/>
  <sheetViews>
    <sheetView topLeftCell="A40" zoomScaleNormal="100" workbookViewId="0">
      <selection activeCell="A48" sqref="A48"/>
    </sheetView>
  </sheetViews>
  <sheetFormatPr baseColWidth="10" defaultColWidth="9.109375" defaultRowHeight="14.4"/>
  <cols>
    <col min="1" max="1" width="60" customWidth="1"/>
    <col min="2" max="2" width="14.44140625" bestFit="1" customWidth="1"/>
    <col min="3" max="3" width="17.5546875" customWidth="1"/>
    <col min="4" max="4" width="13.109375" customWidth="1"/>
    <col min="5" max="5" width="17.5546875" bestFit="1" customWidth="1"/>
    <col min="6" max="6" width="13.33203125" bestFit="1" customWidth="1"/>
    <col min="7" max="7" width="17.5546875" customWidth="1"/>
    <col min="8" max="8" width="12" bestFit="1" customWidth="1"/>
    <col min="9" max="9" width="17.5546875" customWidth="1"/>
    <col min="10" max="10" width="9.109375" customWidth="1"/>
    <col min="11" max="11" width="17.5546875" customWidth="1"/>
    <col min="12" max="12" width="9.109375" customWidth="1"/>
    <col min="13" max="13" width="5.109375" customWidth="1"/>
    <col min="14" max="14" width="3" bestFit="1" customWidth="1"/>
    <col min="15" max="15" width="15" customWidth="1"/>
    <col min="16" max="16" width="14.44140625" bestFit="1" customWidth="1"/>
    <col min="17" max="17" width="11" bestFit="1" customWidth="1"/>
    <col min="18" max="18" width="22" bestFit="1" customWidth="1"/>
    <col min="19" max="19" width="25" bestFit="1" customWidth="1"/>
  </cols>
  <sheetData>
    <row r="1" spans="1:19">
      <c r="A1" s="738" t="s">
        <v>1202</v>
      </c>
      <c r="B1" s="739"/>
      <c r="C1" s="740"/>
      <c r="D1" s="739"/>
      <c r="E1" s="740"/>
      <c r="F1" s="741"/>
      <c r="G1" s="741"/>
      <c r="H1" s="741"/>
      <c r="I1" s="741"/>
      <c r="J1" s="741"/>
      <c r="K1" s="741"/>
      <c r="L1" s="741"/>
      <c r="M1" s="740"/>
      <c r="N1" s="740"/>
      <c r="O1" s="740"/>
      <c r="P1" s="740"/>
      <c r="Q1" s="742"/>
      <c r="R1" s="742"/>
      <c r="S1" s="742"/>
    </row>
    <row r="2" spans="1:19">
      <c r="A2" s="738" t="s">
        <v>1203</v>
      </c>
      <c r="B2" s="739"/>
      <c r="C2" s="740"/>
      <c r="D2" s="743"/>
      <c r="E2" s="744"/>
      <c r="F2" s="741"/>
      <c r="G2" s="741"/>
      <c r="H2" s="741"/>
      <c r="I2" s="741"/>
      <c r="J2" s="741"/>
      <c r="K2" s="741"/>
      <c r="L2" s="741"/>
      <c r="M2" s="740"/>
      <c r="N2" s="740"/>
      <c r="O2" s="740"/>
      <c r="P2" s="740"/>
      <c r="Q2" s="742"/>
      <c r="R2" s="742"/>
      <c r="S2" s="742"/>
    </row>
    <row r="3" spans="1:19">
      <c r="A3" s="738"/>
      <c r="B3" s="739"/>
      <c r="C3" s="740"/>
      <c r="D3" s="743"/>
      <c r="E3" s="744"/>
      <c r="F3" s="741"/>
      <c r="G3" s="741"/>
      <c r="H3" s="741"/>
      <c r="I3" s="741"/>
      <c r="J3" s="741"/>
      <c r="K3" s="741"/>
      <c r="L3" s="741"/>
      <c r="M3" s="740"/>
      <c r="N3" s="740"/>
      <c r="O3" s="740"/>
      <c r="P3" s="740"/>
      <c r="Q3" s="742"/>
      <c r="R3" s="742"/>
      <c r="S3" s="742"/>
    </row>
    <row r="4" spans="1:19">
      <c r="A4" s="745" t="s">
        <v>1242</v>
      </c>
      <c r="B4" s="746">
        <v>877803</v>
      </c>
      <c r="C4" s="747"/>
      <c r="D4" s="743"/>
      <c r="E4" s="744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2"/>
      <c r="R4" s="742"/>
      <c r="S4" s="742"/>
    </row>
    <row r="5" spans="1:19">
      <c r="A5" s="745" t="s">
        <v>1241</v>
      </c>
      <c r="B5" s="746">
        <v>102854</v>
      </c>
      <c r="C5" s="748"/>
      <c r="D5" s="743"/>
      <c r="E5" s="744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2"/>
      <c r="R5" s="742"/>
      <c r="S5" s="742"/>
    </row>
    <row r="6" spans="1:19">
      <c r="A6" s="745" t="s">
        <v>1204</v>
      </c>
      <c r="B6" s="749">
        <f>SUM(B4:B5)</f>
        <v>980657</v>
      </c>
      <c r="C6" s="740"/>
      <c r="D6" s="743"/>
      <c r="E6" s="75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51"/>
      <c r="Q6" s="742"/>
      <c r="R6" s="742"/>
      <c r="S6" s="742"/>
    </row>
    <row r="7" spans="1:19">
      <c r="A7" s="740"/>
      <c r="B7" s="752"/>
      <c r="C7" s="1173" t="s">
        <v>1205</v>
      </c>
      <c r="D7" s="1174"/>
      <c r="E7" s="1174"/>
      <c r="F7" s="1174"/>
      <c r="G7" s="1174"/>
      <c r="H7" s="1174"/>
      <c r="I7" s="1174"/>
      <c r="J7" s="1174"/>
      <c r="K7" s="1174"/>
      <c r="L7" s="1175"/>
      <c r="M7" s="740"/>
      <c r="N7" s="740"/>
      <c r="O7" s="740"/>
      <c r="P7" s="753" t="s">
        <v>1206</v>
      </c>
      <c r="Q7" s="715" t="s">
        <v>1207</v>
      </c>
      <c r="R7" s="715" t="s">
        <v>1208</v>
      </c>
      <c r="S7" s="715" t="s">
        <v>1209</v>
      </c>
    </row>
    <row r="8" spans="1:19">
      <c r="A8" s="740"/>
      <c r="B8" s="739"/>
      <c r="C8" s="1178">
        <v>1</v>
      </c>
      <c r="D8" s="1179"/>
      <c r="E8" s="1176">
        <v>1.7</v>
      </c>
      <c r="F8" s="1177"/>
      <c r="G8" s="1176">
        <v>2.5</v>
      </c>
      <c r="H8" s="1177"/>
      <c r="I8" s="1176">
        <v>2.8</v>
      </c>
      <c r="J8" s="1177"/>
      <c r="K8" s="1176">
        <v>3</v>
      </c>
      <c r="L8" s="1177"/>
      <c r="M8" s="740"/>
      <c r="N8" s="754">
        <v>1</v>
      </c>
      <c r="O8" s="755" t="s">
        <v>138</v>
      </c>
      <c r="P8" s="719">
        <f>+C13</f>
        <v>32688.566666666666</v>
      </c>
      <c r="Q8" s="756">
        <v>1</v>
      </c>
      <c r="R8" s="757">
        <f>+D38</f>
        <v>1.8056142176927319</v>
      </c>
      <c r="S8" s="758">
        <f t="shared" ref="S8:S14" si="0">+P8*R8</f>
        <v>59022.940729330046</v>
      </c>
    </row>
    <row r="9" spans="1:19">
      <c r="A9" s="759" t="s">
        <v>1210</v>
      </c>
      <c r="B9" s="760"/>
      <c r="C9" s="761"/>
      <c r="D9" s="762" t="s">
        <v>321</v>
      </c>
      <c r="E9" s="763"/>
      <c r="F9" s="762" t="s">
        <v>321</v>
      </c>
      <c r="G9" s="763"/>
      <c r="H9" s="762" t="s">
        <v>321</v>
      </c>
      <c r="I9" s="763"/>
      <c r="J9" s="762" t="s">
        <v>321</v>
      </c>
      <c r="K9" s="763"/>
      <c r="L9" s="762" t="s">
        <v>321</v>
      </c>
      <c r="M9" s="740"/>
      <c r="N9" s="754">
        <v>2</v>
      </c>
      <c r="O9" s="755" t="s">
        <v>44</v>
      </c>
      <c r="P9" s="719">
        <f>+E13</f>
        <v>53170.636666666665</v>
      </c>
      <c r="Q9" s="764">
        <v>1.7</v>
      </c>
      <c r="R9" s="757">
        <f>+F38</f>
        <v>1.724216206485921</v>
      </c>
      <c r="S9" s="758">
        <f t="shared" si="0"/>
        <v>91677.673449841212</v>
      </c>
    </row>
    <row r="10" spans="1:19">
      <c r="A10" s="755" t="s">
        <v>1285</v>
      </c>
      <c r="B10" s="734"/>
      <c r="C10" s="765">
        <f>$B$4*C8</f>
        <v>877803</v>
      </c>
      <c r="D10" s="766"/>
      <c r="E10" s="765">
        <f>$B$4*E8</f>
        <v>1492265.0999999999</v>
      </c>
      <c r="F10" s="767"/>
      <c r="G10" s="765">
        <f>$B$4*G8</f>
        <v>2194507.5</v>
      </c>
      <c r="H10" s="767"/>
      <c r="I10" s="765">
        <f>$B$4*I8</f>
        <v>2457848.4</v>
      </c>
      <c r="J10" s="767"/>
      <c r="K10" s="765">
        <f>$B$4*K8</f>
        <v>2633409</v>
      </c>
      <c r="L10" s="767"/>
      <c r="M10" s="740"/>
      <c r="N10" s="754">
        <v>3</v>
      </c>
      <c r="O10" s="755" t="s">
        <v>269</v>
      </c>
      <c r="P10" s="719">
        <f>+G13</f>
        <v>73150.25</v>
      </c>
      <c r="Q10" s="764">
        <v>2.5</v>
      </c>
      <c r="R10" s="757">
        <f>+H38</f>
        <v>1.6318566965480863</v>
      </c>
      <c r="S10" s="758">
        <f t="shared" si="0"/>
        <v>119370.72531666665</v>
      </c>
    </row>
    <row r="11" spans="1:19">
      <c r="A11" s="755" t="s">
        <v>1241</v>
      </c>
      <c r="B11" s="734"/>
      <c r="C11" s="765">
        <f>IF(C10&lt;=2*$B$4,$B$5,0)</f>
        <v>102854</v>
      </c>
      <c r="D11" s="766"/>
      <c r="E11" s="765">
        <f>IF(E10&lt;=2*$B$4,$B$5,0)</f>
        <v>102854</v>
      </c>
      <c r="F11" s="767"/>
      <c r="G11" s="765">
        <f>IF(G10&lt;=2*$B$4,$B$5,0)</f>
        <v>0</v>
      </c>
      <c r="H11" s="767"/>
      <c r="I11" s="765">
        <f>IF(I10&lt;=2*$B$4,$B$5,0)</f>
        <v>0</v>
      </c>
      <c r="J11" s="767"/>
      <c r="K11" s="765">
        <f>IF(K10&lt;=2*$B$4,$B$5,0)</f>
        <v>0</v>
      </c>
      <c r="L11" s="767"/>
      <c r="M11" s="740"/>
      <c r="N11" s="754">
        <v>4</v>
      </c>
      <c r="O11" s="755" t="s">
        <v>323</v>
      </c>
      <c r="P11" s="768">
        <f>+E13</f>
        <v>53170.636666666665</v>
      </c>
      <c r="Q11" s="764">
        <v>1.7</v>
      </c>
      <c r="R11" s="757">
        <f>+F38</f>
        <v>1.724216206485921</v>
      </c>
      <c r="S11" s="758">
        <f t="shared" si="0"/>
        <v>91677.673449841212</v>
      </c>
    </row>
    <row r="12" spans="1:19">
      <c r="A12" s="755" t="s">
        <v>1286</v>
      </c>
      <c r="B12" s="734"/>
      <c r="C12" s="769">
        <f>C10+C11</f>
        <v>980657</v>
      </c>
      <c r="D12" s="766"/>
      <c r="E12" s="769">
        <f>E10+E11</f>
        <v>1595119.0999999999</v>
      </c>
      <c r="F12" s="767"/>
      <c r="G12" s="769">
        <f>G10+G11</f>
        <v>2194507.5</v>
      </c>
      <c r="H12" s="767"/>
      <c r="I12" s="769">
        <f>I10+I11</f>
        <v>2457848.4</v>
      </c>
      <c r="J12" s="767"/>
      <c r="K12" s="769">
        <f>K10+K11</f>
        <v>2633409</v>
      </c>
      <c r="L12" s="767"/>
      <c r="M12" s="740"/>
      <c r="N12" s="754">
        <v>5</v>
      </c>
      <c r="O12" s="755" t="s">
        <v>1211</v>
      </c>
      <c r="P12" s="719">
        <f>+E13</f>
        <v>53170.636666666665</v>
      </c>
      <c r="Q12" s="764">
        <v>1.7</v>
      </c>
      <c r="R12" s="757">
        <f>+F38</f>
        <v>1.724216206485921</v>
      </c>
      <c r="S12" s="758">
        <f t="shared" si="0"/>
        <v>91677.673449841212</v>
      </c>
    </row>
    <row r="13" spans="1:19" s="790" customFormat="1" ht="15.6">
      <c r="A13" s="786" t="s">
        <v>1212</v>
      </c>
      <c r="B13" s="787"/>
      <c r="C13" s="788">
        <f>C12/30</f>
        <v>32688.566666666666</v>
      </c>
      <c r="D13" s="787"/>
      <c r="E13" s="788">
        <f>E12/30</f>
        <v>53170.636666666665</v>
      </c>
      <c r="F13" s="789"/>
      <c r="G13" s="788">
        <f>G12/30</f>
        <v>73150.25</v>
      </c>
      <c r="H13" s="789"/>
      <c r="I13" s="788">
        <f>I12/30</f>
        <v>81928.28</v>
      </c>
      <c r="J13" s="789"/>
      <c r="K13" s="788">
        <f>K12/30</f>
        <v>87780.3</v>
      </c>
      <c r="L13" s="789"/>
      <c r="N13" s="783">
        <v>6</v>
      </c>
      <c r="O13" s="767" t="s">
        <v>305</v>
      </c>
      <c r="P13" s="784">
        <f>+I13</f>
        <v>81928.28</v>
      </c>
      <c r="Q13" s="766">
        <v>2.8</v>
      </c>
      <c r="R13" s="771">
        <f>+J38</f>
        <v>1.6292934790607914</v>
      </c>
      <c r="S13" s="785">
        <f t="shared" si="0"/>
        <v>133485.21235466664</v>
      </c>
    </row>
    <row r="14" spans="1:19">
      <c r="A14" s="755" t="s">
        <v>1283</v>
      </c>
      <c r="B14" s="880">
        <v>12</v>
      </c>
      <c r="C14" s="765">
        <f>C10*$B$14</f>
        <v>10533636</v>
      </c>
      <c r="D14" s="771">
        <f>+C14/C14</f>
        <v>1</v>
      </c>
      <c r="E14" s="765">
        <f>E10*$B$14</f>
        <v>17907181.199999999</v>
      </c>
      <c r="F14" s="771">
        <f>+E14/E14</f>
        <v>1</v>
      </c>
      <c r="G14" s="765">
        <f>G10*$B$14</f>
        <v>26334090</v>
      </c>
      <c r="H14" s="771">
        <f>+G14/G14</f>
        <v>1</v>
      </c>
      <c r="I14" s="765">
        <f>I10*$B$14</f>
        <v>29494180.799999997</v>
      </c>
      <c r="J14" s="771">
        <f>+I14/I14</f>
        <v>1</v>
      </c>
      <c r="K14" s="765">
        <f>K10*$B$14</f>
        <v>31600908</v>
      </c>
      <c r="L14" s="771">
        <f>+K14/K14</f>
        <v>1</v>
      </c>
      <c r="M14" s="740"/>
      <c r="N14" s="754">
        <v>7</v>
      </c>
      <c r="O14" s="755" t="s">
        <v>1213</v>
      </c>
      <c r="P14" s="768">
        <f>+K13</f>
        <v>87780.3</v>
      </c>
      <c r="Q14" s="756">
        <v>3</v>
      </c>
      <c r="R14" s="757">
        <f>+L38</f>
        <v>1.6278694693456275</v>
      </c>
      <c r="S14" s="758">
        <f t="shared" si="0"/>
        <v>142894.87037999998</v>
      </c>
    </row>
    <row r="15" spans="1:19">
      <c r="A15" s="755" t="s">
        <v>1284</v>
      </c>
      <c r="B15" s="881">
        <v>12</v>
      </c>
      <c r="C15" s="765">
        <f>C11*$B$15</f>
        <v>1234248</v>
      </c>
      <c r="D15" s="772">
        <f>+C15/C14</f>
        <v>0.11717207619477263</v>
      </c>
      <c r="E15" s="765">
        <f>E11*$B$15</f>
        <v>1234248</v>
      </c>
      <c r="F15" s="772">
        <f>+E15/E14</f>
        <v>6.892475070280743E-2</v>
      </c>
      <c r="G15" s="765">
        <f>G11*$B$15</f>
        <v>0</v>
      </c>
      <c r="H15" s="771">
        <f>+G15/G14</f>
        <v>0</v>
      </c>
      <c r="I15" s="765">
        <f>I11*$B$15</f>
        <v>0</v>
      </c>
      <c r="J15" s="771">
        <f>+I15/I14</f>
        <v>0</v>
      </c>
      <c r="K15" s="765">
        <f>K11*$B$15</f>
        <v>0</v>
      </c>
      <c r="L15" s="771">
        <f>+K15/K14</f>
        <v>0</v>
      </c>
      <c r="M15" s="740"/>
      <c r="N15" s="773"/>
      <c r="O15" s="773"/>
      <c r="P15" s="773"/>
      <c r="Q15" s="742"/>
      <c r="R15" s="742"/>
      <c r="S15" s="742"/>
    </row>
    <row r="16" spans="1:19">
      <c r="A16" s="755" t="s">
        <v>1214</v>
      </c>
      <c r="B16" s="734"/>
      <c r="C16" s="883">
        <f>C14+C15</f>
        <v>11767884</v>
      </c>
      <c r="D16" s="766"/>
      <c r="E16" s="883">
        <f>E14+E15</f>
        <v>19141429.199999999</v>
      </c>
      <c r="F16" s="766"/>
      <c r="G16" s="883">
        <f>G14+G15</f>
        <v>26334090</v>
      </c>
      <c r="H16" s="766"/>
      <c r="I16" s="883">
        <f>I14+I15</f>
        <v>29494180.799999997</v>
      </c>
      <c r="J16" s="766"/>
      <c r="K16" s="883">
        <f>K14+K15</f>
        <v>31600908</v>
      </c>
      <c r="L16" s="766"/>
      <c r="M16" s="740"/>
      <c r="N16" s="773"/>
      <c r="O16" s="773"/>
      <c r="P16" s="773"/>
      <c r="Q16" s="742"/>
      <c r="R16" s="742"/>
      <c r="S16" s="742"/>
    </row>
    <row r="17" spans="1:19">
      <c r="A17" s="1170" t="s">
        <v>329</v>
      </c>
      <c r="B17" s="1170"/>
      <c r="C17" s="761"/>
      <c r="D17" s="762" t="s">
        <v>321</v>
      </c>
      <c r="E17" s="761"/>
      <c r="F17" s="762" t="s">
        <v>321</v>
      </c>
      <c r="G17" s="761"/>
      <c r="H17" s="762" t="s">
        <v>321</v>
      </c>
      <c r="I17" s="761"/>
      <c r="J17" s="762" t="s">
        <v>321</v>
      </c>
      <c r="K17" s="761"/>
      <c r="L17" s="762" t="s">
        <v>321</v>
      </c>
      <c r="M17" s="740"/>
      <c r="N17" s="740"/>
      <c r="O17" s="740"/>
      <c r="P17" s="740"/>
      <c r="Q17" s="742"/>
      <c r="R17" s="742"/>
      <c r="S17" s="742"/>
    </row>
    <row r="18" spans="1:19">
      <c r="A18" s="755" t="s">
        <v>1215</v>
      </c>
      <c r="B18" s="879">
        <v>8.3333333333333343E-2</v>
      </c>
      <c r="C18" s="765">
        <f>+((C12*360)/360)</f>
        <v>980657</v>
      </c>
      <c r="D18" s="774">
        <f>C18/$C$14</f>
        <v>9.309767301623105E-2</v>
      </c>
      <c r="E18" s="765">
        <f>+((E12*360)/360)</f>
        <v>1595119.1</v>
      </c>
      <c r="F18" s="882">
        <f>E18/$E$14</f>
        <v>8.9077062558567288E-2</v>
      </c>
      <c r="G18" s="765">
        <f>+((G12*360)/360)</f>
        <v>2194507.5</v>
      </c>
      <c r="H18" s="774">
        <f>G18/G14</f>
        <v>8.3333333333333329E-2</v>
      </c>
      <c r="I18" s="765">
        <f>+((I12*360)/360)</f>
        <v>2457848.4</v>
      </c>
      <c r="J18" s="774">
        <f>I18/I14</f>
        <v>8.3333333333333343E-2</v>
      </c>
      <c r="K18" s="765">
        <f>+((K12*360)/360)</f>
        <v>2633409</v>
      </c>
      <c r="L18" s="774">
        <f>K18/K14</f>
        <v>8.3333333333333329E-2</v>
      </c>
      <c r="M18" s="740"/>
      <c r="N18" s="740"/>
      <c r="O18" s="740"/>
      <c r="P18" s="740"/>
      <c r="Q18" s="742"/>
      <c r="R18" s="742"/>
      <c r="S18" s="742"/>
    </row>
    <row r="19" spans="1:19">
      <c r="A19" s="755" t="s">
        <v>1216</v>
      </c>
      <c r="B19" s="718">
        <v>0.01</v>
      </c>
      <c r="C19" s="765">
        <f>+(C18*$B$19)*12</f>
        <v>117678.84</v>
      </c>
      <c r="D19" s="774">
        <f>C19/$C$14</f>
        <v>1.1171720761947727E-2</v>
      </c>
      <c r="E19" s="765">
        <f>+(E18*B19)*12</f>
        <v>191414.29200000002</v>
      </c>
      <c r="F19" s="774">
        <f>E19/$E$14</f>
        <v>1.0689247507028076E-2</v>
      </c>
      <c r="G19" s="765">
        <f>+(G18*$B$19)*12</f>
        <v>263340.90000000002</v>
      </c>
      <c r="H19" s="774">
        <f>G19/G14</f>
        <v>0.01</v>
      </c>
      <c r="I19" s="765">
        <f>+(I18*$B$19)*12</f>
        <v>294941.80800000002</v>
      </c>
      <c r="J19" s="774">
        <f>I19/I14</f>
        <v>1.0000000000000002E-2</v>
      </c>
      <c r="K19" s="765">
        <f>+(K18*$B$19)*12</f>
        <v>316009.08</v>
      </c>
      <c r="L19" s="774">
        <f>K19/K14</f>
        <v>0.01</v>
      </c>
      <c r="M19" s="740"/>
      <c r="N19" s="740"/>
      <c r="O19" s="740"/>
      <c r="P19" s="740"/>
      <c r="Q19" s="742"/>
      <c r="R19" s="742"/>
      <c r="S19" s="742"/>
    </row>
    <row r="20" spans="1:19">
      <c r="A20" s="755" t="s">
        <v>1217</v>
      </c>
      <c r="B20" s="776">
        <v>8.3333333333333343E-2</v>
      </c>
      <c r="C20" s="765">
        <f>+(C12*B20)*12</f>
        <v>980657</v>
      </c>
      <c r="D20" s="774">
        <f>C20/$C$14</f>
        <v>9.309767301623105E-2</v>
      </c>
      <c r="E20" s="765">
        <f>+(E12*B20)*12</f>
        <v>1595119.1</v>
      </c>
      <c r="F20" s="774">
        <f>E20/$E$14</f>
        <v>8.9077062558567288E-2</v>
      </c>
      <c r="G20" s="765">
        <f>+(G12*B20)*12</f>
        <v>2194507.5000000005</v>
      </c>
      <c r="H20" s="774">
        <f>G20/G14</f>
        <v>8.3333333333333356E-2</v>
      </c>
      <c r="I20" s="765">
        <f>+(I12*B20)*12</f>
        <v>2457848.4000000004</v>
      </c>
      <c r="J20" s="774">
        <f>I20/I14</f>
        <v>8.3333333333333356E-2</v>
      </c>
      <c r="K20" s="765">
        <f>+(K12*B20)*12</f>
        <v>2633409.0000000005</v>
      </c>
      <c r="L20" s="774">
        <f>K20/K14</f>
        <v>8.3333333333333343E-2</v>
      </c>
      <c r="M20" s="740"/>
      <c r="N20" s="740"/>
      <c r="O20" s="740"/>
      <c r="P20" s="740"/>
      <c r="Q20" s="742"/>
      <c r="R20" s="742"/>
      <c r="S20" s="742"/>
    </row>
    <row r="21" spans="1:19">
      <c r="A21" s="755" t="s">
        <v>1218</v>
      </c>
      <c r="B21" s="776">
        <v>4.1666666666666671E-2</v>
      </c>
      <c r="C21" s="765">
        <f>+(C10*B21)*12</f>
        <v>438901.50000000012</v>
      </c>
      <c r="D21" s="774">
        <f>C21/$C$14</f>
        <v>4.1666666666666678E-2</v>
      </c>
      <c r="E21" s="765">
        <f>+(E10*B21)*12</f>
        <v>746132.55</v>
      </c>
      <c r="F21" s="774">
        <f>E21/$E$14</f>
        <v>4.1666666666666671E-2</v>
      </c>
      <c r="G21" s="765">
        <f>+(G10*B21)*12</f>
        <v>1097253.7500000002</v>
      </c>
      <c r="H21" s="774">
        <f>G21/G14</f>
        <v>4.1666666666666678E-2</v>
      </c>
      <c r="I21" s="765">
        <f>+(I10*B21)*12</f>
        <v>1228924.2000000002</v>
      </c>
      <c r="J21" s="774">
        <f>I21/I14</f>
        <v>4.1666666666666678E-2</v>
      </c>
      <c r="K21" s="765">
        <f>+(K10*B21)*12</f>
        <v>1316704.5000000002</v>
      </c>
      <c r="L21" s="774">
        <f>K21/K14</f>
        <v>4.1666666666666671E-2</v>
      </c>
      <c r="M21" s="740"/>
      <c r="N21" s="740"/>
      <c r="O21" s="740"/>
      <c r="P21" s="740"/>
      <c r="Q21" s="742"/>
      <c r="R21" s="742"/>
      <c r="S21" s="742"/>
    </row>
    <row r="22" spans="1:19">
      <c r="A22" s="1171" t="s">
        <v>1219</v>
      </c>
      <c r="B22" s="1171"/>
      <c r="C22" s="769">
        <f>SUM(C18:C21)</f>
        <v>2517894.3400000003</v>
      </c>
      <c r="D22" s="766"/>
      <c r="E22" s="769">
        <f>SUM(E18:E21)</f>
        <v>4127785.0420000004</v>
      </c>
      <c r="F22" s="766"/>
      <c r="G22" s="769">
        <f>SUM(G18:G21)</f>
        <v>5749609.6500000004</v>
      </c>
      <c r="H22" s="766"/>
      <c r="I22" s="769">
        <f>SUM(I18:I21)</f>
        <v>6439562.8080000011</v>
      </c>
      <c r="J22" s="766"/>
      <c r="K22" s="769">
        <f>SUM(K18:K21)</f>
        <v>6899531.5800000001</v>
      </c>
      <c r="L22" s="766"/>
      <c r="M22" s="740"/>
      <c r="N22" s="740"/>
      <c r="O22" s="740"/>
      <c r="P22" s="740"/>
      <c r="Q22" s="742"/>
      <c r="R22" s="742"/>
      <c r="S22" s="742"/>
    </row>
    <row r="23" spans="1:19">
      <c r="A23" s="1170" t="s">
        <v>1220</v>
      </c>
      <c r="B23" s="1170"/>
      <c r="C23" s="761"/>
      <c r="D23" s="762" t="s">
        <v>321</v>
      </c>
      <c r="E23" s="761"/>
      <c r="F23" s="762" t="s">
        <v>321</v>
      </c>
      <c r="G23" s="761"/>
      <c r="H23" s="762" t="s">
        <v>321</v>
      </c>
      <c r="I23" s="761"/>
      <c r="J23" s="762" t="s">
        <v>321</v>
      </c>
      <c r="K23" s="761"/>
      <c r="L23" s="762" t="s">
        <v>321</v>
      </c>
      <c r="M23" s="740"/>
      <c r="N23" s="740"/>
      <c r="O23" s="740"/>
      <c r="P23" s="740"/>
      <c r="Q23" s="742"/>
      <c r="R23" s="742"/>
      <c r="S23" s="742"/>
    </row>
    <row r="24" spans="1:19">
      <c r="A24" s="755" t="s">
        <v>1281</v>
      </c>
      <c r="B24" s="718">
        <v>0.12</v>
      </c>
      <c r="C24" s="765">
        <f>+$B$24*C14</f>
        <v>1264036.32</v>
      </c>
      <c r="D24" s="796">
        <f>C24/$C$14</f>
        <v>0.12000000000000001</v>
      </c>
      <c r="E24" s="765">
        <f>+$B$24*E14</f>
        <v>2148861.7439999999</v>
      </c>
      <c r="F24" s="796">
        <f>E24/$E$14</f>
        <v>0.12</v>
      </c>
      <c r="G24" s="765">
        <f>+$B$24*G14</f>
        <v>3160090.8</v>
      </c>
      <c r="H24" s="796">
        <f>G24/G14</f>
        <v>0.12</v>
      </c>
      <c r="I24" s="765">
        <f>+$B$24*I14</f>
        <v>3539301.6959999995</v>
      </c>
      <c r="J24" s="796">
        <f>I24/I14</f>
        <v>0.12</v>
      </c>
      <c r="K24" s="765">
        <f>+$B$24*K14</f>
        <v>3792108.96</v>
      </c>
      <c r="L24" s="796">
        <f>K24/K14</f>
        <v>0.12</v>
      </c>
      <c r="M24" s="740"/>
      <c r="N24" s="740"/>
      <c r="O24" s="740"/>
      <c r="P24" s="740"/>
      <c r="Q24" s="742"/>
      <c r="R24" s="742"/>
      <c r="S24" s="742"/>
    </row>
    <row r="25" spans="1:19">
      <c r="A25" s="755" t="s">
        <v>1282</v>
      </c>
      <c r="B25" s="775">
        <v>8.5000000000000006E-2</v>
      </c>
      <c r="C25" s="765">
        <f>+B25*C14</f>
        <v>895359.06</v>
      </c>
      <c r="D25" s="795">
        <f>C25/$C$14</f>
        <v>8.5000000000000006E-2</v>
      </c>
      <c r="E25" s="765">
        <f>+B25*E14</f>
        <v>1522110.402</v>
      </c>
      <c r="F25" s="795">
        <f>E25/$E$14</f>
        <v>8.5000000000000006E-2</v>
      </c>
      <c r="G25" s="765">
        <f>+B25*G14</f>
        <v>2238397.6500000004</v>
      </c>
      <c r="H25" s="795">
        <f>G25/$G$14</f>
        <v>8.500000000000002E-2</v>
      </c>
      <c r="I25" s="765">
        <f>+B25*I14</f>
        <v>2507005.3679999998</v>
      </c>
      <c r="J25" s="795">
        <f>I25/I14</f>
        <v>8.5000000000000006E-2</v>
      </c>
      <c r="K25" s="765">
        <f>+B25*K14</f>
        <v>2686077.18</v>
      </c>
      <c r="L25" s="795">
        <f>K25/K14</f>
        <v>8.5000000000000006E-2</v>
      </c>
      <c r="M25" s="740"/>
      <c r="N25" s="740"/>
      <c r="O25" s="740"/>
      <c r="P25" s="740"/>
      <c r="Q25" s="742"/>
      <c r="R25" s="742"/>
      <c r="S25" s="742"/>
    </row>
    <row r="26" spans="1:19">
      <c r="A26" s="755" t="s">
        <v>1280</v>
      </c>
      <c r="B26" s="776">
        <v>6.9599999999999995E-2</v>
      </c>
      <c r="C26" s="765">
        <f>+$B$26*C14</f>
        <v>733141.06559999997</v>
      </c>
      <c r="D26" s="774">
        <f>C26/$C$14</f>
        <v>6.9599999999999995E-2</v>
      </c>
      <c r="E26" s="765">
        <f>+$B$26*E14</f>
        <v>1246339.8115199998</v>
      </c>
      <c r="F26" s="774">
        <f>E26/$E$14</f>
        <v>6.9599999999999995E-2</v>
      </c>
      <c r="G26" s="765">
        <f>+$B$26*G14</f>
        <v>1832852.6639999999</v>
      </c>
      <c r="H26" s="774">
        <f>G26/G14</f>
        <v>6.9599999999999995E-2</v>
      </c>
      <c r="I26" s="765">
        <f>+$B$26*I14</f>
        <v>2052794.9836799996</v>
      </c>
      <c r="J26" s="774">
        <f>I26/I14</f>
        <v>6.9599999999999995E-2</v>
      </c>
      <c r="K26" s="765">
        <f>+$B$26*K14</f>
        <v>2199423.1968</v>
      </c>
      <c r="L26" s="774">
        <f>K26/K14</f>
        <v>6.9599999999999995E-2</v>
      </c>
      <c r="M26" s="740"/>
      <c r="N26" s="740"/>
      <c r="O26" s="740"/>
      <c r="P26" s="740"/>
      <c r="Q26" s="742"/>
      <c r="R26" s="742"/>
      <c r="S26" s="742"/>
    </row>
    <row r="27" spans="1:19">
      <c r="A27" s="1171" t="s">
        <v>1221</v>
      </c>
      <c r="B27" s="1171"/>
      <c r="C27" s="769">
        <f>SUM(C24:C26)</f>
        <v>2892536.4455999997</v>
      </c>
      <c r="D27" s="766"/>
      <c r="E27" s="769">
        <f>SUM(E24:E26)</f>
        <v>4917311.9575199997</v>
      </c>
      <c r="F27" s="766"/>
      <c r="G27" s="769">
        <f>SUM(G24:G26)</f>
        <v>7231341.1140000001</v>
      </c>
      <c r="H27" s="766"/>
      <c r="I27" s="769">
        <f>SUM(I24:I26)</f>
        <v>8099102.0476799989</v>
      </c>
      <c r="J27" s="766"/>
      <c r="K27" s="769">
        <f>SUM(K24:K26)</f>
        <v>8677609.3368000016</v>
      </c>
      <c r="L27" s="766"/>
      <c r="M27" s="740"/>
      <c r="N27" s="740"/>
      <c r="O27" s="740"/>
      <c r="P27" s="740"/>
      <c r="Q27" s="742"/>
      <c r="R27" s="742"/>
      <c r="S27" s="742"/>
    </row>
    <row r="28" spans="1:19">
      <c r="A28" s="1170" t="s">
        <v>1222</v>
      </c>
      <c r="B28" s="1170"/>
      <c r="C28" s="761"/>
      <c r="D28" s="762"/>
      <c r="E28" s="761"/>
      <c r="F28" s="762" t="s">
        <v>321</v>
      </c>
      <c r="G28" s="761"/>
      <c r="H28" s="762" t="s">
        <v>321</v>
      </c>
      <c r="I28" s="761"/>
      <c r="J28" s="762" t="s">
        <v>321</v>
      </c>
      <c r="K28" s="761"/>
      <c r="L28" s="762" t="s">
        <v>321</v>
      </c>
      <c r="M28" s="740"/>
      <c r="N28" s="740"/>
      <c r="O28" s="740"/>
      <c r="P28" s="740"/>
      <c r="Q28" s="742"/>
      <c r="R28" s="742"/>
      <c r="S28" s="742"/>
    </row>
    <row r="29" spans="1:19">
      <c r="A29" s="755" t="s">
        <v>955</v>
      </c>
      <c r="B29" s="718">
        <v>0.02</v>
      </c>
      <c r="C29" s="765">
        <f>$B$29*C14</f>
        <v>210672.72</v>
      </c>
      <c r="D29" s="796">
        <f>C29/$C$14</f>
        <v>0.02</v>
      </c>
      <c r="E29" s="765">
        <f>$B$29*E14</f>
        <v>358143.62400000001</v>
      </c>
      <c r="F29" s="796">
        <f>E29/$E$14</f>
        <v>0.02</v>
      </c>
      <c r="G29" s="765">
        <f>$B$29*G14</f>
        <v>526681.80000000005</v>
      </c>
      <c r="H29" s="796">
        <f>G29/G14</f>
        <v>0.02</v>
      </c>
      <c r="I29" s="765">
        <f>$B$29*I14</f>
        <v>589883.61599999992</v>
      </c>
      <c r="J29" s="796">
        <f>I29/I14</f>
        <v>0.02</v>
      </c>
      <c r="K29" s="765">
        <f>$B$29*K14</f>
        <v>632018.16</v>
      </c>
      <c r="L29" s="796">
        <f>K29/K14</f>
        <v>0.02</v>
      </c>
      <c r="M29" s="740"/>
      <c r="N29" s="740"/>
      <c r="O29" s="740"/>
      <c r="P29" s="740"/>
      <c r="Q29" s="742"/>
      <c r="R29" s="742"/>
      <c r="S29" s="742"/>
    </row>
    <row r="30" spans="1:19">
      <c r="A30" s="755" t="s">
        <v>1223</v>
      </c>
      <c r="B30" s="718">
        <v>0.03</v>
      </c>
      <c r="C30" s="765">
        <f>$B$30*C14</f>
        <v>316009.08</v>
      </c>
      <c r="D30" s="796">
        <f>C30/$C$14</f>
        <v>3.0000000000000002E-2</v>
      </c>
      <c r="E30" s="765">
        <f>$B$30*E14</f>
        <v>537215.43599999999</v>
      </c>
      <c r="F30" s="796">
        <f>E30/$E$14</f>
        <v>0.03</v>
      </c>
      <c r="G30" s="765">
        <f>$B$30*G14</f>
        <v>790022.7</v>
      </c>
      <c r="H30" s="796">
        <f>G30/G14</f>
        <v>0.03</v>
      </c>
      <c r="I30" s="765">
        <f>$B$30*I14</f>
        <v>884825.42399999988</v>
      </c>
      <c r="J30" s="796">
        <f>I30/I14</f>
        <v>0.03</v>
      </c>
      <c r="K30" s="765">
        <f>$B$30*K14</f>
        <v>948027.24</v>
      </c>
      <c r="L30" s="796">
        <f>K30/K14</f>
        <v>0.03</v>
      </c>
      <c r="M30" s="740"/>
      <c r="N30" s="740"/>
      <c r="O30" s="740"/>
      <c r="P30" s="740"/>
      <c r="Q30" s="742"/>
      <c r="R30" s="742"/>
      <c r="S30" s="742"/>
    </row>
    <row r="31" spans="1:19">
      <c r="A31" s="755" t="s">
        <v>1224</v>
      </c>
      <c r="B31" s="718">
        <v>0.04</v>
      </c>
      <c r="C31" s="765">
        <f>$B$31*C14</f>
        <v>421345.44</v>
      </c>
      <c r="D31" s="796">
        <f>C31/$C$14</f>
        <v>0.04</v>
      </c>
      <c r="E31" s="765">
        <f>$B$31*E14</f>
        <v>716287.24800000002</v>
      </c>
      <c r="F31" s="796">
        <f>E31/$E$14</f>
        <v>0.04</v>
      </c>
      <c r="G31" s="765">
        <f>$B$31*G14</f>
        <v>1053363.6000000001</v>
      </c>
      <c r="H31" s="796">
        <f>G31/G14</f>
        <v>0.04</v>
      </c>
      <c r="I31" s="765">
        <f>$B$31*I14</f>
        <v>1179767.2319999998</v>
      </c>
      <c r="J31" s="796">
        <f>I31/I14</f>
        <v>0.04</v>
      </c>
      <c r="K31" s="765">
        <f>$B$31*K14</f>
        <v>1264036.32</v>
      </c>
      <c r="L31" s="796">
        <f>K31/K14</f>
        <v>0.04</v>
      </c>
      <c r="M31" s="740"/>
      <c r="N31" s="740"/>
      <c r="O31" s="740"/>
      <c r="P31" s="740"/>
      <c r="Q31" s="742"/>
      <c r="R31" s="742"/>
      <c r="S31" s="742"/>
    </row>
    <row r="32" spans="1:19">
      <c r="A32" s="777" t="s">
        <v>1225</v>
      </c>
      <c r="B32" s="778"/>
      <c r="C32" s="765">
        <f>+C14/40</f>
        <v>263340.90000000002</v>
      </c>
      <c r="D32" s="795">
        <f>C32/$C$14</f>
        <v>2.5000000000000001E-2</v>
      </c>
      <c r="E32" s="765">
        <f>+E14/40</f>
        <v>447679.52999999997</v>
      </c>
      <c r="F32" s="795">
        <f>E32/$E$14</f>
        <v>2.4999999999999998E-2</v>
      </c>
      <c r="G32" s="765">
        <f>+G14/40</f>
        <v>658352.25</v>
      </c>
      <c r="H32" s="795">
        <f>G32/G14</f>
        <v>2.5000000000000001E-2</v>
      </c>
      <c r="I32" s="765">
        <f>+I14/40</f>
        <v>737354.5199999999</v>
      </c>
      <c r="J32" s="795">
        <f>I32/I14</f>
        <v>2.4999999999999998E-2</v>
      </c>
      <c r="K32" s="765">
        <f>+K14/40</f>
        <v>790022.7</v>
      </c>
      <c r="L32" s="795">
        <f>K32/K14</f>
        <v>2.4999999999999998E-2</v>
      </c>
      <c r="M32" s="740"/>
      <c r="N32" s="740"/>
      <c r="O32" s="740"/>
      <c r="P32" s="740"/>
      <c r="Q32" s="742"/>
      <c r="R32" s="742"/>
      <c r="S32" s="742"/>
    </row>
    <row r="33" spans="1:19">
      <c r="A33" s="1171" t="s">
        <v>1226</v>
      </c>
      <c r="B33" s="1171"/>
      <c r="C33" s="769">
        <f>SUM(C29:C32)</f>
        <v>1211368.1400000001</v>
      </c>
      <c r="D33" s="766"/>
      <c r="E33" s="769">
        <f>SUM(E29:E32)</f>
        <v>2059325.8380000002</v>
      </c>
      <c r="F33" s="766"/>
      <c r="G33" s="769">
        <f>SUM(G29:G32)</f>
        <v>3028420.35</v>
      </c>
      <c r="H33" s="766"/>
      <c r="I33" s="769">
        <f>SUM(I29:I32)</f>
        <v>3391830.7919999999</v>
      </c>
      <c r="J33" s="766"/>
      <c r="K33" s="769">
        <f>SUM(K29:K32)</f>
        <v>3634104.42</v>
      </c>
      <c r="L33" s="766"/>
      <c r="M33" s="740"/>
      <c r="N33" s="740"/>
      <c r="O33" s="740"/>
      <c r="P33" s="740"/>
      <c r="Q33" s="742"/>
      <c r="R33" s="742"/>
      <c r="S33" s="742"/>
    </row>
    <row r="34" spans="1:19">
      <c r="A34" s="1170" t="s">
        <v>1227</v>
      </c>
      <c r="B34" s="1170"/>
      <c r="C34" s="761"/>
      <c r="D34" s="762" t="s">
        <v>321</v>
      </c>
      <c r="E34" s="761"/>
      <c r="F34" s="762" t="s">
        <v>321</v>
      </c>
      <c r="G34" s="761"/>
      <c r="H34" s="762" t="s">
        <v>321</v>
      </c>
      <c r="I34" s="761"/>
      <c r="J34" s="762" t="s">
        <v>321</v>
      </c>
      <c r="K34" s="761"/>
      <c r="L34" s="762" t="s">
        <v>321</v>
      </c>
      <c r="M34" s="740"/>
      <c r="N34" s="740"/>
      <c r="O34" s="740"/>
      <c r="P34" s="740"/>
      <c r="Q34" s="742"/>
      <c r="R34" s="742"/>
      <c r="S34" s="742"/>
    </row>
    <row r="35" spans="1:19">
      <c r="A35" s="755" t="s">
        <v>1228</v>
      </c>
      <c r="B35" s="770"/>
      <c r="C35" s="765">
        <v>350000</v>
      </c>
      <c r="D35" s="774">
        <f>C35/$C$14</f>
        <v>3.3226893353823887E-2</v>
      </c>
      <c r="E35" s="765">
        <v>350000</v>
      </c>
      <c r="F35" s="774">
        <f>E35/$E$14</f>
        <v>1.9545231384602284E-2</v>
      </c>
      <c r="G35" s="765">
        <v>350000</v>
      </c>
      <c r="H35" s="774">
        <f>G35/G14</f>
        <v>1.3290757341529553E-2</v>
      </c>
      <c r="I35" s="765">
        <v>350000</v>
      </c>
      <c r="J35" s="774">
        <f>I35/I14</f>
        <v>1.1866747626365673E-2</v>
      </c>
      <c r="K35" s="765">
        <v>350000</v>
      </c>
      <c r="L35" s="774">
        <f>K35/K14</f>
        <v>1.1075631117941295E-2</v>
      </c>
      <c r="M35" s="740"/>
      <c r="N35" s="740"/>
      <c r="O35" s="740"/>
      <c r="P35" s="740"/>
      <c r="Q35" s="742"/>
      <c r="R35" s="742"/>
      <c r="S35" s="742"/>
    </row>
    <row r="36" spans="1:19">
      <c r="A36" s="755" t="s">
        <v>1229</v>
      </c>
      <c r="B36" s="770"/>
      <c r="C36" s="765">
        <v>280000</v>
      </c>
      <c r="D36" s="774">
        <f>C36/$C$14</f>
        <v>2.6581514683059106E-2</v>
      </c>
      <c r="E36" s="765">
        <v>280000</v>
      </c>
      <c r="F36" s="774">
        <f>E36/$E$14</f>
        <v>1.5636185107681829E-2</v>
      </c>
      <c r="G36" s="765">
        <v>280000</v>
      </c>
      <c r="H36" s="774">
        <f>G36/G14</f>
        <v>1.0632605873223643E-2</v>
      </c>
      <c r="I36" s="765">
        <v>280000</v>
      </c>
      <c r="J36" s="774">
        <f>I36/I14</f>
        <v>9.493398101092539E-3</v>
      </c>
      <c r="K36" s="765">
        <v>280000</v>
      </c>
      <c r="L36" s="774">
        <f>K36/K14</f>
        <v>8.860504894353036E-3</v>
      </c>
      <c r="M36" s="740"/>
      <c r="N36" s="740"/>
      <c r="O36" s="740"/>
      <c r="P36" s="740"/>
      <c r="Q36" s="742"/>
      <c r="R36" s="742"/>
      <c r="S36" s="742"/>
    </row>
    <row r="37" spans="1:19">
      <c r="A37" s="1171" t="s">
        <v>1230</v>
      </c>
      <c r="B37" s="1171"/>
      <c r="C37" s="769">
        <f>SUM(C35:C36)</f>
        <v>630000</v>
      </c>
      <c r="D37" s="766"/>
      <c r="E37" s="769">
        <f>SUM(E35:E36)</f>
        <v>630000</v>
      </c>
      <c r="F37" s="766"/>
      <c r="G37" s="769">
        <f>SUM(G35:G36)</f>
        <v>630000</v>
      </c>
      <c r="H37" s="766"/>
      <c r="I37" s="769">
        <f>SUM(I35:I36)</f>
        <v>630000</v>
      </c>
      <c r="J37" s="766"/>
      <c r="K37" s="769">
        <f>SUM(K35:K36)</f>
        <v>630000</v>
      </c>
      <c r="L37" s="766"/>
      <c r="M37" s="740"/>
      <c r="N37" s="740"/>
      <c r="O37" s="740"/>
      <c r="P37" s="740"/>
      <c r="Q37" s="742"/>
      <c r="R37" s="742"/>
      <c r="S37" s="742"/>
    </row>
    <row r="38" spans="1:19">
      <c r="A38" s="779" t="s">
        <v>54</v>
      </c>
      <c r="B38" s="780"/>
      <c r="C38" s="781">
        <f>SUM(C37,C33,C27,C22,C16)</f>
        <v>19019682.9256</v>
      </c>
      <c r="D38" s="782">
        <f>SUM(D14:D37)</f>
        <v>1.8056142176927319</v>
      </c>
      <c r="E38" s="781">
        <f>SUM(E37,E33,E27,E22,E16)</f>
        <v>30875852.037519999</v>
      </c>
      <c r="F38" s="782">
        <f>SUM(F14:F37)</f>
        <v>1.724216206485921</v>
      </c>
      <c r="G38" s="781">
        <f>SUM(G37,G33,G27,G22,G16)</f>
        <v>42973461.114</v>
      </c>
      <c r="H38" s="782">
        <f>SUM(H14:H37)</f>
        <v>1.6318566965480863</v>
      </c>
      <c r="I38" s="781">
        <f>SUM(I37,I33,I27,I22,I16)</f>
        <v>48054676.447679996</v>
      </c>
      <c r="J38" s="782">
        <f>SUM(J14:J37)</f>
        <v>1.6292934790607914</v>
      </c>
      <c r="K38" s="781">
        <f>SUM(K37,K33,K27,K22,K16)</f>
        <v>51442153.336800002</v>
      </c>
      <c r="L38" s="782">
        <f>SUM(L14:L37)</f>
        <v>1.6278694693456275</v>
      </c>
      <c r="M38" s="740"/>
      <c r="N38" s="740"/>
      <c r="O38" s="740"/>
      <c r="P38" s="740"/>
      <c r="Q38" s="742"/>
      <c r="R38" s="742"/>
      <c r="S38" s="742"/>
    </row>
    <row r="39" spans="1:19" ht="15.6">
      <c r="A39" s="714"/>
      <c r="B39" s="713"/>
      <c r="C39" s="714"/>
      <c r="D39" s="716"/>
      <c r="E39" s="717"/>
      <c r="F39" s="714"/>
      <c r="G39" s="714"/>
      <c r="H39" s="714"/>
      <c r="I39" s="714"/>
      <c r="J39" s="714"/>
      <c r="K39" s="714"/>
      <c r="L39" s="714"/>
      <c r="M39" s="714"/>
      <c r="N39" s="714"/>
      <c r="O39" s="714"/>
      <c r="P39" s="714"/>
      <c r="Q39" s="6"/>
      <c r="R39" s="6"/>
      <c r="S39" s="6"/>
    </row>
    <row r="40" spans="1:19" ht="15.6">
      <c r="A40" s="1172" t="s">
        <v>1231</v>
      </c>
      <c r="B40" s="1172"/>
      <c r="C40" s="1172"/>
      <c r="D40" s="1172"/>
      <c r="E40" s="1172"/>
      <c r="F40" s="1172"/>
      <c r="G40" s="1172"/>
      <c r="H40" s="1172"/>
      <c r="I40" s="1172"/>
      <c r="J40" s="1172"/>
      <c r="K40" s="1172"/>
      <c r="L40" s="1172"/>
      <c r="M40" s="714"/>
      <c r="N40" s="714"/>
      <c r="O40" s="714"/>
      <c r="P40" s="714"/>
      <c r="Q40" s="6"/>
      <c r="R40" s="6"/>
      <c r="S40" s="6"/>
    </row>
    <row r="42" spans="1:19" ht="27.6">
      <c r="A42" s="791" t="s">
        <v>320</v>
      </c>
      <c r="B42" s="791" t="s">
        <v>0</v>
      </c>
      <c r="C42" s="791" t="s">
        <v>1279</v>
      </c>
      <c r="D42" s="792"/>
      <c r="E42" s="793"/>
      <c r="F42" s="740"/>
      <c r="G42" s="3"/>
    </row>
    <row r="43" spans="1:19">
      <c r="A43" s="890" t="s">
        <v>310</v>
      </c>
      <c r="B43" s="891" t="s">
        <v>321</v>
      </c>
      <c r="C43" s="794">
        <v>0.15</v>
      </c>
      <c r="D43" s="792"/>
      <c r="E43" s="793"/>
      <c r="F43" s="740"/>
    </row>
    <row r="44" spans="1:19">
      <c r="A44" s="890" t="s">
        <v>322</v>
      </c>
      <c r="B44" s="891" t="s">
        <v>321</v>
      </c>
      <c r="C44" s="771">
        <v>0.05</v>
      </c>
      <c r="D44" s="792"/>
      <c r="E44" s="740"/>
      <c r="F44" s="740"/>
      <c r="H44" s="9"/>
      <c r="I44" s="369"/>
      <c r="J44" s="732"/>
      <c r="K44" s="732"/>
      <c r="L44" s="732"/>
      <c r="M44" s="9"/>
      <c r="N44" s="9"/>
      <c r="O44" s="9"/>
    </row>
    <row r="45" spans="1:19">
      <c r="A45" s="890" t="s">
        <v>312</v>
      </c>
      <c r="B45" s="891" t="s">
        <v>321</v>
      </c>
      <c r="C45" s="771">
        <v>0.05</v>
      </c>
      <c r="D45" s="792"/>
      <c r="E45" s="740"/>
      <c r="F45" s="740"/>
      <c r="H45" s="9"/>
      <c r="I45" s="369"/>
      <c r="J45" s="722"/>
      <c r="K45" s="720"/>
      <c r="L45" s="721"/>
      <c r="M45" s="9"/>
      <c r="N45" s="9"/>
      <c r="O45" s="9"/>
    </row>
    <row r="46" spans="1:19">
      <c r="A46" s="890"/>
      <c r="B46" s="891"/>
      <c r="C46" s="894"/>
      <c r="D46" s="792"/>
      <c r="E46" s="740"/>
      <c r="F46" s="740"/>
      <c r="H46" s="9"/>
      <c r="I46" s="369"/>
      <c r="J46" s="722"/>
      <c r="K46" s="720"/>
      <c r="L46" s="721"/>
      <c r="M46" s="9"/>
      <c r="N46" s="9"/>
      <c r="O46" s="9"/>
    </row>
    <row r="47" spans="1:19" s="885" customFormat="1" ht="27.6">
      <c r="A47" s="895"/>
      <c r="B47" s="895"/>
      <c r="C47" s="895" t="s">
        <v>1234</v>
      </c>
      <c r="D47" s="895" t="s">
        <v>1208</v>
      </c>
      <c r="E47" s="895" t="s">
        <v>1207</v>
      </c>
      <c r="F47" s="895" t="s">
        <v>1209</v>
      </c>
      <c r="H47" s="886"/>
      <c r="I47" s="887"/>
      <c r="J47" s="888"/>
      <c r="K47" s="889"/>
      <c r="L47" s="884"/>
      <c r="M47" s="886"/>
      <c r="N47" s="886"/>
      <c r="O47" s="886"/>
    </row>
    <row r="48" spans="1:19">
      <c r="A48" s="890" t="s">
        <v>138</v>
      </c>
      <c r="B48" s="891" t="s">
        <v>1232</v>
      </c>
      <c r="C48" s="892">
        <f t="shared" ref="C48:C53" si="1">+P8</f>
        <v>32688.566666666666</v>
      </c>
      <c r="D48" s="718">
        <f>+D38</f>
        <v>1.8056142176927319</v>
      </c>
      <c r="E48" s="734">
        <v>1</v>
      </c>
      <c r="F48" s="719">
        <f>+C48*D48</f>
        <v>59022.940729330046</v>
      </c>
      <c r="H48" s="396">
        <f>+F48/8</f>
        <v>7377.8675911662558</v>
      </c>
      <c r="I48" s="720"/>
      <c r="J48" s="723"/>
      <c r="K48" s="9"/>
      <c r="L48" s="9"/>
      <c r="M48" s="9"/>
      <c r="N48" s="9"/>
      <c r="O48" s="9"/>
    </row>
    <row r="49" spans="1:15">
      <c r="A49" s="890" t="s">
        <v>44</v>
      </c>
      <c r="B49" s="891" t="s">
        <v>1233</v>
      </c>
      <c r="C49" s="892">
        <f t="shared" si="1"/>
        <v>53170.636666666665</v>
      </c>
      <c r="D49" s="718">
        <f>+F38</f>
        <v>1.724216206485921</v>
      </c>
      <c r="E49" s="734">
        <v>1.7</v>
      </c>
      <c r="F49" s="719">
        <f t="shared" ref="F49:F54" si="2">+C49*D49</f>
        <v>91677.673449841212</v>
      </c>
      <c r="H49" s="9">
        <f>+F49/8</f>
        <v>11459.709181230151</v>
      </c>
      <c r="I49" s="896"/>
      <c r="J49" s="724"/>
      <c r="K49" s="725"/>
      <c r="L49" s="725"/>
      <c r="M49" s="725"/>
      <c r="N49" s="9"/>
      <c r="O49" s="9"/>
    </row>
    <row r="50" spans="1:15">
      <c r="A50" s="890" t="s">
        <v>269</v>
      </c>
      <c r="B50" s="891" t="s">
        <v>1233</v>
      </c>
      <c r="C50" s="892">
        <f t="shared" si="1"/>
        <v>73150.25</v>
      </c>
      <c r="D50" s="718">
        <f>+H38</f>
        <v>1.6318566965480863</v>
      </c>
      <c r="E50" s="734">
        <v>2.5</v>
      </c>
      <c r="F50" s="719">
        <f t="shared" si="2"/>
        <v>119370.72531666665</v>
      </c>
      <c r="G50" s="807"/>
      <c r="H50" s="720">
        <f>SUM(H48:H49)</f>
        <v>18837.576772396409</v>
      </c>
      <c r="I50" s="807"/>
      <c r="J50" s="724"/>
      <c r="K50" s="725"/>
      <c r="L50" s="725"/>
      <c r="M50" s="725"/>
      <c r="N50" s="9"/>
      <c r="O50" s="9"/>
    </row>
    <row r="51" spans="1:15">
      <c r="A51" s="890" t="s">
        <v>323</v>
      </c>
      <c r="B51" s="891" t="s">
        <v>1233</v>
      </c>
      <c r="C51" s="892">
        <f t="shared" si="1"/>
        <v>53170.636666666665</v>
      </c>
      <c r="D51" s="718">
        <f>+F38</f>
        <v>1.724216206485921</v>
      </c>
      <c r="E51" s="734">
        <v>1.7</v>
      </c>
      <c r="F51" s="719">
        <f t="shared" si="2"/>
        <v>91677.673449841212</v>
      </c>
      <c r="H51" s="9"/>
      <c r="I51" s="893"/>
      <c r="J51" s="724"/>
      <c r="K51" s="725"/>
      <c r="L51" s="725"/>
      <c r="M51" s="725"/>
      <c r="N51" s="9"/>
      <c r="O51" s="9"/>
    </row>
    <row r="52" spans="1:15">
      <c r="A52" s="890" t="s">
        <v>1211</v>
      </c>
      <c r="B52" s="891" t="s">
        <v>1233</v>
      </c>
      <c r="C52" s="892">
        <f t="shared" si="1"/>
        <v>53170.636666666665</v>
      </c>
      <c r="D52" s="718">
        <f>+F38</f>
        <v>1.724216206485921</v>
      </c>
      <c r="E52" s="734">
        <v>1.7</v>
      </c>
      <c r="F52" s="719">
        <f t="shared" si="2"/>
        <v>91677.673449841212</v>
      </c>
      <c r="H52" s="9"/>
      <c r="I52" s="733"/>
      <c r="J52" s="724"/>
      <c r="K52" s="725"/>
      <c r="L52" s="725"/>
      <c r="M52" s="725"/>
      <c r="N52" s="9"/>
      <c r="O52" s="9"/>
    </row>
    <row r="53" spans="1:15">
      <c r="A53" s="890" t="s">
        <v>305</v>
      </c>
      <c r="B53" s="891" t="s">
        <v>1233</v>
      </c>
      <c r="C53" s="892">
        <f t="shared" si="1"/>
        <v>81928.28</v>
      </c>
      <c r="D53" s="718">
        <f>+J38</f>
        <v>1.6292934790607914</v>
      </c>
      <c r="E53" s="734">
        <v>2.8</v>
      </c>
      <c r="F53" s="719">
        <f t="shared" si="2"/>
        <v>133485.21235466664</v>
      </c>
      <c r="H53" s="9"/>
      <c r="I53" s="733"/>
      <c r="J53" s="724"/>
      <c r="K53" s="726"/>
      <c r="L53" s="727"/>
      <c r="M53" s="725"/>
      <c r="N53" s="9"/>
      <c r="O53" s="9"/>
    </row>
    <row r="54" spans="1:15">
      <c r="A54" s="890" t="s">
        <v>144</v>
      </c>
      <c r="B54" s="891" t="s">
        <v>1233</v>
      </c>
      <c r="C54" s="892">
        <f>+P14</f>
        <v>87780.3</v>
      </c>
      <c r="D54" s="718">
        <f>+L38</f>
        <v>1.6278694693456275</v>
      </c>
      <c r="E54" s="735">
        <v>3</v>
      </c>
      <c r="F54" s="719">
        <f t="shared" si="2"/>
        <v>142894.87037999998</v>
      </c>
      <c r="H54" s="9"/>
      <c r="I54" s="396"/>
      <c r="J54" s="9"/>
      <c r="K54" s="720"/>
      <c r="L54" s="656"/>
      <c r="M54" s="607"/>
      <c r="N54" s="9"/>
      <c r="O54" s="9"/>
    </row>
    <row r="55" spans="1:15">
      <c r="A55" s="4"/>
      <c r="B55" s="12"/>
      <c r="C55" s="5"/>
      <c r="H55" s="9"/>
      <c r="I55" s="369"/>
      <c r="J55" s="9"/>
      <c r="K55" s="9"/>
      <c r="L55" s="9"/>
      <c r="M55" s="9"/>
      <c r="N55" s="9"/>
      <c r="O55" s="9"/>
    </row>
    <row r="56" spans="1:15">
      <c r="A56" s="4"/>
      <c r="B56" s="356"/>
      <c r="C56" s="5"/>
      <c r="H56" s="9"/>
      <c r="I56" s="369"/>
      <c r="J56" s="721"/>
      <c r="K56" s="728"/>
      <c r="L56" s="9"/>
      <c r="M56" s="9"/>
      <c r="N56" s="9"/>
      <c r="O56" s="9"/>
    </row>
    <row r="57" spans="1:15">
      <c r="A57" s="4"/>
      <c r="B57" s="12"/>
      <c r="C57" s="5"/>
      <c r="H57" s="9"/>
      <c r="I57" s="369"/>
      <c r="J57" s="729"/>
      <c r="K57" s="729"/>
      <c r="L57" s="720"/>
      <c r="M57" s="730"/>
      <c r="N57" s="9"/>
      <c r="O57" s="9"/>
    </row>
    <row r="58" spans="1:15">
      <c r="A58" s="9"/>
      <c r="B58" s="360"/>
      <c r="C58" s="361"/>
      <c r="H58" s="9"/>
      <c r="I58" s="9"/>
      <c r="J58" s="729"/>
      <c r="K58" s="729"/>
      <c r="L58" s="720"/>
      <c r="M58" s="730"/>
      <c r="N58" s="9"/>
      <c r="O58" s="9"/>
    </row>
    <row r="59" spans="1:15">
      <c r="A59" s="362"/>
      <c r="B59" s="363"/>
      <c r="C59" s="364"/>
      <c r="H59" s="9"/>
      <c r="I59" s="9"/>
      <c r="J59" s="731"/>
      <c r="K59" s="731"/>
      <c r="L59" s="720"/>
      <c r="M59" s="730"/>
      <c r="N59" s="9"/>
      <c r="O59" s="9"/>
    </row>
    <row r="60" spans="1:15">
      <c r="A60" s="362"/>
      <c r="B60" s="363"/>
      <c r="C60" s="364"/>
      <c r="H60" s="9"/>
      <c r="I60" s="9"/>
      <c r="J60" s="9"/>
      <c r="K60" s="9"/>
      <c r="L60" s="9"/>
      <c r="M60" s="9"/>
      <c r="N60" s="9"/>
      <c r="O60" s="9"/>
    </row>
    <row r="61" spans="1:15">
      <c r="A61" s="362"/>
      <c r="B61" s="365"/>
      <c r="C61" s="364"/>
      <c r="F61" s="8"/>
    </row>
    <row r="62" spans="1:15">
      <c r="A62" s="366"/>
      <c r="B62" s="363"/>
      <c r="C62" s="364"/>
    </row>
    <row r="63" spans="1:15">
      <c r="A63" s="362"/>
      <c r="B63" s="367"/>
      <c r="C63" s="364"/>
    </row>
    <row r="64" spans="1:15">
      <c r="A64" s="362"/>
      <c r="B64" s="368"/>
      <c r="C64" s="364"/>
    </row>
    <row r="65" spans="1:3">
      <c r="A65" s="83"/>
      <c r="B65" s="368"/>
      <c r="C65" s="364"/>
    </row>
    <row r="66" spans="1:3">
      <c r="A66" s="83"/>
      <c r="B66" s="368"/>
      <c r="C66" s="364"/>
    </row>
    <row r="67" spans="1:3">
      <c r="A67" s="359"/>
      <c r="B67" s="9"/>
      <c r="C67" s="9"/>
    </row>
    <row r="68" spans="1:3">
      <c r="A68" s="20"/>
    </row>
    <row r="69" spans="1:3">
      <c r="A69" s="20"/>
    </row>
  </sheetData>
  <mergeCells count="15">
    <mergeCell ref="C7:L7"/>
    <mergeCell ref="K8:L8"/>
    <mergeCell ref="I8:J8"/>
    <mergeCell ref="G8:H8"/>
    <mergeCell ref="E8:F8"/>
    <mergeCell ref="C8:D8"/>
    <mergeCell ref="A34:B34"/>
    <mergeCell ref="A37:B37"/>
    <mergeCell ref="A40:L40"/>
    <mergeCell ref="A33:B33"/>
    <mergeCell ref="A17:B17"/>
    <mergeCell ref="A22:B22"/>
    <mergeCell ref="A23:B23"/>
    <mergeCell ref="A27:B27"/>
    <mergeCell ref="A28:B28"/>
  </mergeCells>
  <pageMargins left="0.7" right="0.7" top="0.75" bottom="0.75" header="0.3" footer="0.3"/>
  <pageSetup paperSize="9" scale="6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H48"/>
  <sheetViews>
    <sheetView topLeftCell="A28" workbookViewId="0">
      <selection activeCell="L28" sqref="L2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358</v>
      </c>
      <c r="B7" s="24"/>
      <c r="C7" s="23"/>
      <c r="D7" s="2"/>
      <c r="E7" s="24"/>
      <c r="F7" s="2"/>
      <c r="G7" s="24" t="s">
        <v>352</v>
      </c>
      <c r="H7" s="23"/>
    </row>
    <row r="8" spans="1:8">
      <c r="A8" s="22" t="s">
        <v>353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1671.9390791578037</v>
      </c>
      <c r="H12" s="34"/>
    </row>
    <row r="13" spans="1:8">
      <c r="A13" s="123"/>
      <c r="B13" s="124"/>
      <c r="C13" s="125"/>
      <c r="D13" s="126"/>
      <c r="E13" s="126"/>
      <c r="F13" s="126"/>
      <c r="G13" s="12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1671.9390791578037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8">
      <c r="A34" s="45" t="s">
        <v>807</v>
      </c>
      <c r="B34" s="46"/>
      <c r="C34" s="65">
        <f>+SALARIOS!C48</f>
        <v>32688.566666666666</v>
      </c>
      <c r="D34" s="66">
        <f>+SALARIOS!D48</f>
        <v>1.8056142176927319</v>
      </c>
      <c r="E34" s="31">
        <f>(C34*D34)</f>
        <v>59022.940729330046</v>
      </c>
      <c r="F34" s="115">
        <v>0.12</v>
      </c>
      <c r="G34" s="67">
        <f>E34*F34</f>
        <v>7082.7528875196049</v>
      </c>
      <c r="H34" s="34"/>
    </row>
    <row r="35" spans="1:8">
      <c r="A35" s="45" t="s">
        <v>403</v>
      </c>
      <c r="B35" s="46"/>
      <c r="C35" s="65">
        <f>SALARIOS!C49</f>
        <v>53170.636666666665</v>
      </c>
      <c r="D35" s="66">
        <f>+SALARIOS!D49</f>
        <v>1.724216206485921</v>
      </c>
      <c r="E35" s="31">
        <f>(C35*D35)</f>
        <v>91677.673449841212</v>
      </c>
      <c r="F35" s="115">
        <v>0.10511433745459127</v>
      </c>
      <c r="G35" s="67">
        <f>E35*F35</f>
        <v>9636.6379040584325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16719.390791578036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18391.329870735841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2758.6994806103762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919.56649353679211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919.56649353679211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4597.8324676839602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22989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8"/>
  <sheetViews>
    <sheetView workbookViewId="0">
      <selection activeCell="J37" sqref="J3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660</v>
      </c>
      <c r="H7" s="23"/>
    </row>
    <row r="8" spans="1:8">
      <c r="A8" s="22" t="s">
        <v>624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93" t="s">
        <v>6</v>
      </c>
      <c r="B12" s="212"/>
      <c r="C12" s="21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8388.9073925936409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19958.907392593639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982</v>
      </c>
      <c r="B21" s="46"/>
      <c r="C21" s="47"/>
      <c r="D21" s="100" t="s">
        <v>1</v>
      </c>
      <c r="E21" s="98">
        <f>+MATERIALES!E194</f>
        <v>1080053.641025641</v>
      </c>
      <c r="F21" s="122">
        <v>1</v>
      </c>
      <c r="G21" s="96">
        <f>+E21*F21</f>
        <v>1080053.641025641</v>
      </c>
      <c r="H21" s="21"/>
    </row>
    <row r="22" spans="1:8">
      <c r="A22" s="86" t="s">
        <v>1438</v>
      </c>
      <c r="B22" s="46"/>
      <c r="C22" s="47"/>
      <c r="D22" s="30" t="s">
        <v>139</v>
      </c>
      <c r="E22" s="101">
        <f>MATERIALES!E56</f>
        <v>20656</v>
      </c>
      <c r="F22" s="32">
        <v>4.2000000000000003E-2</v>
      </c>
      <c r="G22" s="33">
        <f>+E22*F22</f>
        <v>867.55200000000002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1080921.1930256409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0.39999997811474652</v>
      </c>
      <c r="G34" s="67">
        <f>+E34*F34</f>
        <v>47218.35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0.39999623186336347</v>
      </c>
      <c r="G35" s="67">
        <f>+E35*F35</f>
        <v>36670.723925936407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83889.073925936405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1184769.1743441708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177715.37615162562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59238.458717208545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59238.458717208545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296192.29358604271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1480961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8"/>
  <sheetViews>
    <sheetView workbookViewId="0">
      <selection activeCell="G35" sqref="G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662</v>
      </c>
      <c r="H7" s="23"/>
    </row>
    <row r="8" spans="1:8">
      <c r="A8" s="22" t="s">
        <v>663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93" t="s">
        <v>6</v>
      </c>
      <c r="B12" s="212"/>
      <c r="C12" s="21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9532.889064705254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21102.889064705254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983</v>
      </c>
      <c r="B21" s="46"/>
      <c r="C21" s="47"/>
      <c r="D21" s="100" t="s">
        <v>1</v>
      </c>
      <c r="E21" s="98">
        <f>+MATERIALES!E195</f>
        <v>1355968.1692307692</v>
      </c>
      <c r="F21" s="96">
        <v>1</v>
      </c>
      <c r="G21" s="96">
        <f>+E21*F21</f>
        <v>1355968.1692307692</v>
      </c>
      <c r="H21" s="21"/>
    </row>
    <row r="22" spans="1:8">
      <c r="A22" s="86" t="s">
        <v>1438</v>
      </c>
      <c r="B22" s="46"/>
      <c r="C22" s="47"/>
      <c r="D22" s="30" t="s">
        <v>139</v>
      </c>
      <c r="E22" s="101">
        <f>MATERIALES!E56</f>
        <v>20656</v>
      </c>
      <c r="F22" s="32">
        <v>4.3999999999999997E-2</v>
      </c>
      <c r="G22" s="33">
        <f>+E22*F22</f>
        <v>908.86399999999992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1356877.0332307692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0.45454546433109461</v>
      </c>
      <c r="G34" s="67">
        <f>+E34*F34</f>
        <v>53657.22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0.45454546433109461</v>
      </c>
      <c r="G35" s="67">
        <f>+E35*F35</f>
        <v>41671.670647052539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95328.89064705254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1473308.812942527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220996.32194137905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73665.44064712635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73665.44064712635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368327.20323563175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1841636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48"/>
  <sheetViews>
    <sheetView topLeftCell="A4" workbookViewId="0">
      <selection activeCell="G35" sqref="G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665</v>
      </c>
      <c r="H7" s="23"/>
    </row>
    <row r="8" spans="1:8">
      <c r="A8" s="22" t="s">
        <v>666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93" t="s">
        <v>6</v>
      </c>
      <c r="B12" s="212"/>
      <c r="C12" s="21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10486.14130869675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22056.141308696751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984</v>
      </c>
      <c r="B21" s="46"/>
      <c r="C21" s="47"/>
      <c r="D21" s="100" t="s">
        <v>1</v>
      </c>
      <c r="E21" s="98">
        <f>+MATERIALES!E196</f>
        <v>1550788.1169230766</v>
      </c>
      <c r="F21" s="96">
        <v>1</v>
      </c>
      <c r="G21" s="96">
        <f>+E21*F21</f>
        <v>1550788.1169230766</v>
      </c>
      <c r="H21" s="21"/>
    </row>
    <row r="22" spans="1:8">
      <c r="A22" s="86" t="s">
        <v>1438</v>
      </c>
      <c r="B22" s="46"/>
      <c r="C22" s="47"/>
      <c r="D22" s="30" t="s">
        <v>139</v>
      </c>
      <c r="E22" s="101">
        <f>MATERIALES!E56</f>
        <v>20656</v>
      </c>
      <c r="F22" s="31">
        <v>4.5999999999999999E-2</v>
      </c>
      <c r="G22" s="33">
        <f>+E22*F22</f>
        <v>950.17599999999993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1551738.2929230765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0.49999999382163923</v>
      </c>
      <c r="G34" s="67">
        <f>+E34*F34</f>
        <v>59022.94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0.4999960335167829</v>
      </c>
      <c r="G35" s="67">
        <f>+E35*F35</f>
        <v>45838.473086967482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104861.41308696748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1678655.8473187408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251798.37709781111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83932.792365937043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83932.792365937043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419663.9618296852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2098320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668</v>
      </c>
      <c r="H7" s="23"/>
    </row>
    <row r="8" spans="1:8">
      <c r="A8" s="22" t="s">
        <v>669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212"/>
      <c r="C12" s="213"/>
      <c r="D12" s="30"/>
      <c r="E12" s="48"/>
      <c r="F12" s="120"/>
      <c r="G12" s="33">
        <f>H38*10%</f>
        <v>5992.0404657317358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5992.0404657317358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653</v>
      </c>
      <c r="B21" s="46"/>
      <c r="C21" s="47"/>
      <c r="D21" s="100" t="s">
        <v>1</v>
      </c>
      <c r="E21" s="98">
        <f>+MATERIALES!E190</f>
        <v>393113.84615384619</v>
      </c>
      <c r="F21" s="122">
        <v>1</v>
      </c>
      <c r="G21" s="96">
        <f>+E21*F21</f>
        <v>393113.84615384619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393113.84615384619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0.28571433059112183</v>
      </c>
      <c r="G34" s="67">
        <f>+E34*F34</f>
        <v>33727.399999999987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0.28570756293949928</v>
      </c>
      <c r="G35" s="67">
        <f>+E35*F35</f>
        <v>26193.004657317371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59920.404657317355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459026.29127689532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68853.943691534296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22951.314563844768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22951.314563844768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114756.57281922383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573783</v>
      </c>
    </row>
  </sheetData>
  <mergeCells count="1">
    <mergeCell ref="A3:C4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670</v>
      </c>
      <c r="H7" s="23"/>
    </row>
    <row r="8" spans="1:8">
      <c r="A8" s="22" t="s">
        <v>671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34" t="s">
        <v>834</v>
      </c>
      <c r="B12" s="582"/>
      <c r="C12" s="583"/>
      <c r="D12" s="30"/>
      <c r="E12" s="48"/>
      <c r="F12" s="120"/>
      <c r="G12" s="33">
        <f>H38*10%</f>
        <v>6355.2839848277863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6355.2839848277863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655</v>
      </c>
      <c r="B21" s="46"/>
      <c r="C21" s="47"/>
      <c r="D21" s="100" t="s">
        <v>1</v>
      </c>
      <c r="E21" s="98">
        <f>+MATERIALES!E191</f>
        <v>450863.84615384619</v>
      </c>
      <c r="F21" s="122">
        <v>1</v>
      </c>
      <c r="G21" s="96">
        <f>+E21*F21</f>
        <v>450863.84615384619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450863.84615384619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0.30303030955406318</v>
      </c>
      <c r="G34" s="67">
        <f>+E34*F34</f>
        <v>35771.480000000018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0.30303299377986082</v>
      </c>
      <c r="G35" s="67">
        <f>+E35*F35</f>
        <v>27781.359848277843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63552.839848277858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520771.96998695185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78115.795498042775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26038.598499347594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26038.598499347594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130192.99249673798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650965</v>
      </c>
    </row>
  </sheetData>
  <mergeCells count="1">
    <mergeCell ref="A3:C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06" t="s">
        <v>318</v>
      </c>
      <c r="B5" s="207"/>
      <c r="C5" s="208"/>
      <c r="D5" s="194"/>
      <c r="E5" s="195"/>
      <c r="F5" s="195"/>
      <c r="G5" s="195"/>
      <c r="H5" s="19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672</v>
      </c>
      <c r="H7" s="23"/>
    </row>
    <row r="8" spans="1:8">
      <c r="A8" s="22" t="s">
        <v>673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97" t="s">
        <v>283</v>
      </c>
      <c r="B11" s="198"/>
      <c r="C11" s="199"/>
      <c r="D11" s="199" t="s">
        <v>284</v>
      </c>
      <c r="E11" s="27" t="s">
        <v>285</v>
      </c>
      <c r="F11" s="199" t="s">
        <v>286</v>
      </c>
      <c r="G11" s="198" t="s">
        <v>287</v>
      </c>
      <c r="H11" s="29"/>
    </row>
    <row r="12" spans="1:8">
      <c r="A12" s="193" t="s">
        <v>6</v>
      </c>
      <c r="B12" s="212"/>
      <c r="C12" s="213"/>
      <c r="D12" s="30" t="s">
        <v>5</v>
      </c>
      <c r="E12" s="48">
        <f>+'EQUIPOS '!D14</f>
        <v>115700</v>
      </c>
      <c r="F12" s="120">
        <v>10</v>
      </c>
      <c r="G12" s="33">
        <f>+E12/F12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6765.3038320520282</v>
      </c>
      <c r="H13" s="34"/>
    </row>
    <row r="14" spans="1:8">
      <c r="A14" s="200"/>
      <c r="B14" s="201"/>
      <c r="C14" s="202"/>
      <c r="D14" s="35"/>
      <c r="E14" s="36"/>
      <c r="F14" s="31"/>
      <c r="G14" s="33"/>
      <c r="H14" s="34"/>
    </row>
    <row r="15" spans="1:8">
      <c r="A15" s="200"/>
      <c r="B15" s="201"/>
      <c r="C15" s="202"/>
      <c r="D15" s="35"/>
      <c r="E15" s="36"/>
      <c r="F15" s="31"/>
      <c r="G15" s="33"/>
      <c r="H15" s="34"/>
    </row>
    <row r="16" spans="1:8">
      <c r="A16" s="200"/>
      <c r="B16" s="201"/>
      <c r="C16" s="202"/>
      <c r="D16" s="35"/>
      <c r="E16" s="36"/>
      <c r="F16" s="31"/>
      <c r="G16" s="33"/>
      <c r="H16" s="34"/>
    </row>
    <row r="17" spans="1:8" ht="15" thickBot="1">
      <c r="A17" s="203"/>
      <c r="B17" s="204"/>
      <c r="C17" s="20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18335.303832052028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09" t="s">
        <v>283</v>
      </c>
      <c r="B20" s="210"/>
      <c r="C20" s="211"/>
      <c r="D20" s="211" t="s">
        <v>291</v>
      </c>
      <c r="E20" s="211" t="s">
        <v>292</v>
      </c>
      <c r="F20" s="211" t="s">
        <v>293</v>
      </c>
      <c r="G20" s="210" t="s">
        <v>287</v>
      </c>
      <c r="H20" s="29"/>
    </row>
    <row r="21" spans="1:8">
      <c r="A21" s="86" t="s">
        <v>657</v>
      </c>
      <c r="B21" s="46"/>
      <c r="C21" s="47"/>
      <c r="D21" s="100" t="s">
        <v>1</v>
      </c>
      <c r="E21" s="98">
        <f>+MATERIALES!E192</f>
        <v>587329.5384615385</v>
      </c>
      <c r="F21" s="122">
        <v>1</v>
      </c>
      <c r="G21" s="96">
        <f>+E21*F21</f>
        <v>587329.5384615385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587329.5384615385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97" t="s">
        <v>295</v>
      </c>
      <c r="B27" s="199"/>
      <c r="C27" s="55" t="s">
        <v>296</v>
      </c>
      <c r="D27" s="199" t="s">
        <v>297</v>
      </c>
      <c r="E27" s="199" t="s">
        <v>298</v>
      </c>
      <c r="F27" s="1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97" t="s">
        <v>301</v>
      </c>
      <c r="B33" s="199"/>
      <c r="C33" s="199" t="s">
        <v>302</v>
      </c>
      <c r="D33" s="199" t="s">
        <v>303</v>
      </c>
      <c r="E33" s="85" t="s">
        <v>304</v>
      </c>
      <c r="F33" s="64" t="s">
        <v>286</v>
      </c>
      <c r="G33" s="19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0.32258067396731205</v>
      </c>
      <c r="G34" s="67">
        <f>+E34*F34</f>
        <v>38079.32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0.32258364777003962</v>
      </c>
      <c r="G35" s="67">
        <f>+E35*F35</f>
        <v>29573.718320520289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67653.038320520282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673317.88061411085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10"/>
      <c r="C42" s="210"/>
      <c r="D42" s="210"/>
      <c r="E42" s="211"/>
      <c r="F42" s="211" t="s">
        <v>308</v>
      </c>
      <c r="G42" s="2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100997.68209211662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33665.894030705545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33665.894030705545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168329.47015352774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841647</v>
      </c>
    </row>
  </sheetData>
  <mergeCells count="1">
    <mergeCell ref="A3:C4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14" t="s">
        <v>318</v>
      </c>
      <c r="B5" s="215"/>
      <c r="C5" s="216"/>
      <c r="D5" s="220"/>
      <c r="E5" s="221"/>
      <c r="F5" s="221"/>
      <c r="G5" s="221"/>
      <c r="H5" s="22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674</v>
      </c>
      <c r="H7" s="23"/>
    </row>
    <row r="8" spans="1:8">
      <c r="A8" s="22" t="s">
        <v>675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17" t="s">
        <v>283</v>
      </c>
      <c r="B11" s="218"/>
      <c r="C11" s="219"/>
      <c r="D11" s="219" t="s">
        <v>284</v>
      </c>
      <c r="E11" s="27" t="s">
        <v>285</v>
      </c>
      <c r="F11" s="219" t="s">
        <v>286</v>
      </c>
      <c r="G11" s="218" t="s">
        <v>287</v>
      </c>
      <c r="H11" s="29"/>
    </row>
    <row r="12" spans="1:8">
      <c r="A12" s="193" t="s">
        <v>6</v>
      </c>
      <c r="B12" s="232"/>
      <c r="C12" s="23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7490.1702195290345</v>
      </c>
      <c r="H13" s="34"/>
    </row>
    <row r="14" spans="1:8">
      <c r="A14" s="223"/>
      <c r="B14" s="224"/>
      <c r="C14" s="225"/>
      <c r="D14" s="35"/>
      <c r="E14" s="36"/>
      <c r="F14" s="31"/>
      <c r="G14" s="33"/>
      <c r="H14" s="34"/>
    </row>
    <row r="15" spans="1:8">
      <c r="A15" s="223"/>
      <c r="B15" s="224"/>
      <c r="C15" s="225"/>
      <c r="D15" s="35"/>
      <c r="E15" s="36"/>
      <c r="F15" s="31"/>
      <c r="G15" s="33"/>
      <c r="H15" s="34"/>
    </row>
    <row r="16" spans="1:8">
      <c r="A16" s="223"/>
      <c r="B16" s="224"/>
      <c r="C16" s="225"/>
      <c r="D16" s="35"/>
      <c r="E16" s="36"/>
      <c r="F16" s="31"/>
      <c r="G16" s="33"/>
      <c r="H16" s="34"/>
    </row>
    <row r="17" spans="1:8" ht="15" thickBot="1">
      <c r="A17" s="226"/>
      <c r="B17" s="227"/>
      <c r="C17" s="22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19060.170219529035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29" t="s">
        <v>283</v>
      </c>
      <c r="B20" s="230"/>
      <c r="C20" s="231"/>
      <c r="D20" s="231" t="s">
        <v>291</v>
      </c>
      <c r="E20" s="231" t="s">
        <v>292</v>
      </c>
      <c r="F20" s="231" t="s">
        <v>293</v>
      </c>
      <c r="G20" s="230" t="s">
        <v>287</v>
      </c>
      <c r="H20" s="29"/>
    </row>
    <row r="21" spans="1:8">
      <c r="A21" s="86" t="s">
        <v>659</v>
      </c>
      <c r="B21" s="46"/>
      <c r="C21" s="47"/>
      <c r="D21" s="100" t="s">
        <v>1</v>
      </c>
      <c r="E21" s="98">
        <f>+MATERIALES!E193</f>
        <v>741746.1025641025</v>
      </c>
      <c r="F21" s="122">
        <v>1</v>
      </c>
      <c r="G21" s="96">
        <f>+E21*F21</f>
        <v>741746.1025641025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741746.1025641025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17" t="s">
        <v>295</v>
      </c>
      <c r="B27" s="219"/>
      <c r="C27" s="55" t="s">
        <v>296</v>
      </c>
      <c r="D27" s="219" t="s">
        <v>297</v>
      </c>
      <c r="E27" s="219" t="s">
        <v>298</v>
      </c>
      <c r="F27" s="2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17" t="s">
        <v>301</v>
      </c>
      <c r="B33" s="219"/>
      <c r="C33" s="219" t="s">
        <v>302</v>
      </c>
      <c r="D33" s="219" t="s">
        <v>303</v>
      </c>
      <c r="E33" s="85" t="s">
        <v>304</v>
      </c>
      <c r="F33" s="64" t="s">
        <v>286</v>
      </c>
      <c r="G33" s="21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0.35714291323890257</v>
      </c>
      <c r="G34" s="67">
        <f>+E34*F34</f>
        <v>42159.250000000022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0.35714750345627405</v>
      </c>
      <c r="G35" s="67">
        <f>+E35*F35</f>
        <v>32742.452195290327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74901.702195290345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835707.97497892193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30"/>
      <c r="C42" s="230"/>
      <c r="D42" s="230"/>
      <c r="E42" s="231"/>
      <c r="F42" s="231" t="s">
        <v>308</v>
      </c>
      <c r="G42" s="2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125356.19624683828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41785.3987489461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41785.3987489461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208926.99374473048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1044635</v>
      </c>
    </row>
  </sheetData>
  <mergeCells count="1">
    <mergeCell ref="A3:C4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14" t="s">
        <v>318</v>
      </c>
      <c r="B5" s="215"/>
      <c r="C5" s="216"/>
      <c r="D5" s="220"/>
      <c r="E5" s="221"/>
      <c r="F5" s="221"/>
      <c r="G5" s="221"/>
      <c r="H5" s="22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676</v>
      </c>
      <c r="H7" s="23"/>
    </row>
    <row r="8" spans="1:8">
      <c r="A8" s="22" t="s">
        <v>677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17" t="s">
        <v>283</v>
      </c>
      <c r="B11" s="218"/>
      <c r="C11" s="219"/>
      <c r="D11" s="219" t="s">
        <v>284</v>
      </c>
      <c r="E11" s="27" t="s">
        <v>285</v>
      </c>
      <c r="F11" s="219" t="s">
        <v>286</v>
      </c>
      <c r="G11" s="218" t="s">
        <v>287</v>
      </c>
      <c r="H11" s="29"/>
    </row>
    <row r="12" spans="1:8">
      <c r="A12" s="193" t="s">
        <v>6</v>
      </c>
      <c r="B12" s="232"/>
      <c r="C12" s="23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9144.1885123926186</v>
      </c>
      <c r="H13" s="34"/>
    </row>
    <row r="14" spans="1:8">
      <c r="A14" s="223"/>
      <c r="B14" s="224"/>
      <c r="C14" s="225"/>
      <c r="D14" s="35"/>
      <c r="E14" s="36"/>
      <c r="F14" s="31"/>
      <c r="G14" s="33"/>
      <c r="H14" s="34"/>
    </row>
    <row r="15" spans="1:8">
      <c r="A15" s="223"/>
      <c r="B15" s="224"/>
      <c r="C15" s="225"/>
      <c r="D15" s="35"/>
      <c r="E15" s="36"/>
      <c r="F15" s="31"/>
      <c r="G15" s="33"/>
      <c r="H15" s="34"/>
    </row>
    <row r="16" spans="1:8">
      <c r="A16" s="223"/>
      <c r="B16" s="224"/>
      <c r="C16" s="225"/>
      <c r="D16" s="35"/>
      <c r="E16" s="36"/>
      <c r="F16" s="31"/>
      <c r="G16" s="33"/>
      <c r="H16" s="34"/>
    </row>
    <row r="17" spans="1:8" ht="15" thickBot="1">
      <c r="A17" s="226"/>
      <c r="B17" s="227"/>
      <c r="C17" s="22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20714.188512392619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29" t="s">
        <v>283</v>
      </c>
      <c r="B20" s="230"/>
      <c r="C20" s="231"/>
      <c r="D20" s="231" t="s">
        <v>291</v>
      </c>
      <c r="E20" s="231" t="s">
        <v>292</v>
      </c>
      <c r="F20" s="231" t="s">
        <v>293</v>
      </c>
      <c r="G20" s="230" t="s">
        <v>287</v>
      </c>
      <c r="H20" s="29"/>
    </row>
    <row r="21" spans="1:8">
      <c r="A21" s="86" t="s">
        <v>661</v>
      </c>
      <c r="B21" s="46"/>
      <c r="C21" s="47"/>
      <c r="D21" s="100" t="s">
        <v>1</v>
      </c>
      <c r="E21" s="98">
        <f>+MATERIALES!E194</f>
        <v>1080053.641025641</v>
      </c>
      <c r="F21" s="122">
        <v>1</v>
      </c>
      <c r="G21" s="96">
        <f>+E21*F21</f>
        <v>1080053.641025641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1080053.641025641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17" t="s">
        <v>295</v>
      </c>
      <c r="B27" s="219"/>
      <c r="C27" s="55" t="s">
        <v>296</v>
      </c>
      <c r="D27" s="219" t="s">
        <v>297</v>
      </c>
      <c r="E27" s="219" t="s">
        <v>298</v>
      </c>
      <c r="F27" s="2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17" t="s">
        <v>301</v>
      </c>
      <c r="B33" s="219"/>
      <c r="C33" s="219" t="s">
        <v>302</v>
      </c>
      <c r="D33" s="219" t="s">
        <v>303</v>
      </c>
      <c r="E33" s="85" t="s">
        <v>304</v>
      </c>
      <c r="F33" s="64" t="s">
        <v>286</v>
      </c>
      <c r="G33" s="21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0.438</v>
      </c>
      <c r="G34" s="67">
        <f>+E34*F34</f>
        <v>51704.096078893119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0.43345110701107015</v>
      </c>
      <c r="G35" s="67">
        <f>+E35*F35</f>
        <v>39737.789045033067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91441.885123926186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1192209.7146619598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30"/>
      <c r="C42" s="230"/>
      <c r="D42" s="230"/>
      <c r="E42" s="231"/>
      <c r="F42" s="231" t="s">
        <v>308</v>
      </c>
      <c r="G42" s="2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178831.45719929397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59610.485733097994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59610.485733097994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298052.42866548995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1490262</v>
      </c>
    </row>
  </sheetData>
  <mergeCells count="1">
    <mergeCell ref="A3:C4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14" t="s">
        <v>318</v>
      </c>
      <c r="B5" s="215"/>
      <c r="C5" s="216"/>
      <c r="D5" s="220"/>
      <c r="E5" s="221"/>
      <c r="F5" s="221"/>
      <c r="G5" s="221"/>
      <c r="H5" s="22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678</v>
      </c>
      <c r="H7" s="23"/>
    </row>
    <row r="8" spans="1:8">
      <c r="A8" s="22" t="s">
        <v>679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17" t="s">
        <v>283</v>
      </c>
      <c r="B11" s="218"/>
      <c r="C11" s="219"/>
      <c r="D11" s="219" t="s">
        <v>284</v>
      </c>
      <c r="E11" s="27" t="s">
        <v>285</v>
      </c>
      <c r="F11" s="219" t="s">
        <v>286</v>
      </c>
      <c r="G11" s="218" t="s">
        <v>287</v>
      </c>
      <c r="H11" s="29"/>
    </row>
    <row r="12" spans="1:8">
      <c r="A12" s="193" t="s">
        <v>6</v>
      </c>
      <c r="B12" s="232"/>
      <c r="C12" s="23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10486.17939247775</v>
      </c>
      <c r="H13" s="34"/>
    </row>
    <row r="14" spans="1:8">
      <c r="A14" s="223"/>
      <c r="B14" s="224"/>
      <c r="C14" s="225"/>
      <c r="D14" s="35"/>
      <c r="E14" s="36"/>
      <c r="F14" s="31"/>
      <c r="G14" s="33"/>
      <c r="H14" s="34"/>
    </row>
    <row r="15" spans="1:8">
      <c r="A15" s="223"/>
      <c r="B15" s="224"/>
      <c r="C15" s="225"/>
      <c r="D15" s="35"/>
      <c r="E15" s="36"/>
      <c r="F15" s="31"/>
      <c r="G15" s="33"/>
      <c r="H15" s="34"/>
    </row>
    <row r="16" spans="1:8">
      <c r="A16" s="223"/>
      <c r="B16" s="224"/>
      <c r="C16" s="225"/>
      <c r="D16" s="35"/>
      <c r="E16" s="36"/>
      <c r="F16" s="31"/>
      <c r="G16" s="33"/>
      <c r="H16" s="34"/>
    </row>
    <row r="17" spans="1:8" ht="15" thickBot="1">
      <c r="A17" s="226"/>
      <c r="B17" s="227"/>
      <c r="C17" s="22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22056.179392477752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29" t="s">
        <v>283</v>
      </c>
      <c r="B20" s="230"/>
      <c r="C20" s="231"/>
      <c r="D20" s="231" t="s">
        <v>291</v>
      </c>
      <c r="E20" s="231" t="s">
        <v>292</v>
      </c>
      <c r="F20" s="231" t="s">
        <v>293</v>
      </c>
      <c r="G20" s="230" t="s">
        <v>287</v>
      </c>
      <c r="H20" s="29"/>
    </row>
    <row r="21" spans="1:8">
      <c r="A21" s="86" t="s">
        <v>664</v>
      </c>
      <c r="B21" s="46"/>
      <c r="C21" s="47"/>
      <c r="D21" s="100" t="s">
        <v>1</v>
      </c>
      <c r="E21" s="98">
        <f>+MATERIALES!E195</f>
        <v>1355968.1692307692</v>
      </c>
      <c r="F21" s="122">
        <v>1</v>
      </c>
      <c r="G21" s="96">
        <f>+E21*F21</f>
        <v>1355968.1692307692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1355968.1692307692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17" t="s">
        <v>295</v>
      </c>
      <c r="B27" s="219"/>
      <c r="C27" s="55" t="s">
        <v>296</v>
      </c>
      <c r="D27" s="219" t="s">
        <v>297</v>
      </c>
      <c r="E27" s="219" t="s">
        <v>298</v>
      </c>
      <c r="F27" s="2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17" t="s">
        <v>301</v>
      </c>
      <c r="B33" s="219"/>
      <c r="C33" s="219" t="s">
        <v>302</v>
      </c>
      <c r="D33" s="219" t="s">
        <v>303</v>
      </c>
      <c r="E33" s="85" t="s">
        <v>304</v>
      </c>
      <c r="F33" s="64" t="s">
        <v>286</v>
      </c>
      <c r="G33" s="21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0.50000007853446338</v>
      </c>
      <c r="G34" s="67">
        <f>+E34*F34</f>
        <v>59022.95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0.50000007853446338</v>
      </c>
      <c r="G35" s="67">
        <f>+E35*F35</f>
        <v>45838.843924777495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104861.79392477749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1482886.1425480244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30"/>
      <c r="C42" s="230"/>
      <c r="D42" s="230"/>
      <c r="E42" s="231"/>
      <c r="F42" s="231" t="s">
        <v>308</v>
      </c>
      <c r="G42" s="2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222432.92138220367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74144.307127401218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74144.307127401218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370721.53563700611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1853608</v>
      </c>
    </row>
  </sheetData>
  <mergeCells count="1">
    <mergeCell ref="A3:C4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14" t="s">
        <v>318</v>
      </c>
      <c r="B5" s="215"/>
      <c r="C5" s="216"/>
      <c r="D5" s="220"/>
      <c r="E5" s="221"/>
      <c r="F5" s="221"/>
      <c r="G5" s="221"/>
      <c r="H5" s="22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652</v>
      </c>
      <c r="B7" s="24"/>
      <c r="C7" s="23"/>
      <c r="D7" s="2"/>
      <c r="E7" s="24"/>
      <c r="F7" s="2"/>
      <c r="G7" s="24" t="s">
        <v>680</v>
      </c>
      <c r="H7" s="23"/>
    </row>
    <row r="8" spans="1:8">
      <c r="A8" s="22" t="s">
        <v>681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17" t="s">
        <v>283</v>
      </c>
      <c r="B11" s="218"/>
      <c r="C11" s="219"/>
      <c r="D11" s="219" t="s">
        <v>284</v>
      </c>
      <c r="E11" s="27" t="s">
        <v>285</v>
      </c>
      <c r="F11" s="219" t="s">
        <v>286</v>
      </c>
      <c r="G11" s="218" t="s">
        <v>287</v>
      </c>
      <c r="H11" s="29"/>
    </row>
    <row r="12" spans="1:8">
      <c r="A12" s="193" t="s">
        <v>6</v>
      </c>
      <c r="B12" s="232"/>
      <c r="C12" s="233"/>
      <c r="D12" s="30" t="s">
        <v>5</v>
      </c>
      <c r="E12" s="48">
        <f>+'EQUIPOS '!D14</f>
        <v>115700</v>
      </c>
      <c r="F12" s="120">
        <v>0.1</v>
      </c>
      <c r="G12" s="33">
        <f>+E12*F12</f>
        <v>11570</v>
      </c>
      <c r="H12" s="34"/>
    </row>
    <row r="13" spans="1:8">
      <c r="A13" s="134" t="s">
        <v>834</v>
      </c>
      <c r="B13" s="582"/>
      <c r="C13" s="583"/>
      <c r="D13" s="30"/>
      <c r="E13" s="48"/>
      <c r="F13" s="120"/>
      <c r="G13" s="33">
        <f>H38*10%</f>
        <v>11651.309449071123</v>
      </c>
      <c r="H13" s="34"/>
    </row>
    <row r="14" spans="1:8">
      <c r="A14" s="223"/>
      <c r="B14" s="224"/>
      <c r="C14" s="225"/>
      <c r="D14" s="35"/>
      <c r="E14" s="36"/>
      <c r="F14" s="31"/>
      <c r="G14" s="33"/>
      <c r="H14" s="34"/>
    </row>
    <row r="15" spans="1:8">
      <c r="A15" s="223"/>
      <c r="B15" s="224"/>
      <c r="C15" s="225"/>
      <c r="D15" s="35"/>
      <c r="E15" s="36"/>
      <c r="F15" s="31"/>
      <c r="G15" s="33"/>
      <c r="H15" s="34"/>
    </row>
    <row r="16" spans="1:8">
      <c r="A16" s="223"/>
      <c r="B16" s="224"/>
      <c r="C16" s="225"/>
      <c r="D16" s="35"/>
      <c r="E16" s="36"/>
      <c r="F16" s="31"/>
      <c r="G16" s="33"/>
      <c r="H16" s="34"/>
    </row>
    <row r="17" spans="1:8" ht="15" thickBot="1">
      <c r="A17" s="226"/>
      <c r="B17" s="227"/>
      <c r="C17" s="22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23221.309449071123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29" t="s">
        <v>283</v>
      </c>
      <c r="B20" s="230"/>
      <c r="C20" s="231"/>
      <c r="D20" s="231" t="s">
        <v>291</v>
      </c>
      <c r="E20" s="231" t="s">
        <v>292</v>
      </c>
      <c r="F20" s="231" t="s">
        <v>293</v>
      </c>
      <c r="G20" s="230" t="s">
        <v>287</v>
      </c>
      <c r="H20" s="29"/>
    </row>
    <row r="21" spans="1:8">
      <c r="A21" s="86" t="s">
        <v>667</v>
      </c>
      <c r="B21" s="46"/>
      <c r="C21" s="47"/>
      <c r="D21" s="100" t="s">
        <v>1</v>
      </c>
      <c r="E21" s="98">
        <f>+MATERIALES!E196</f>
        <v>1550788.1169230766</v>
      </c>
      <c r="F21" s="122">
        <v>1</v>
      </c>
      <c r="G21" s="96">
        <f>+E21*F21</f>
        <v>1550788.1169230766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1550788.1169230766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17" t="s">
        <v>295</v>
      </c>
      <c r="B27" s="219"/>
      <c r="C27" s="55" t="s">
        <v>296</v>
      </c>
      <c r="D27" s="219" t="s">
        <v>297</v>
      </c>
      <c r="E27" s="219" t="s">
        <v>298</v>
      </c>
      <c r="F27" s="2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17" t="s">
        <v>301</v>
      </c>
      <c r="B33" s="219"/>
      <c r="C33" s="219" t="s">
        <v>302</v>
      </c>
      <c r="D33" s="219" t="s">
        <v>303</v>
      </c>
      <c r="E33" s="85" t="s">
        <v>304</v>
      </c>
      <c r="F33" s="64" t="s">
        <v>286</v>
      </c>
      <c r="G33" s="21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0.55555559575338997</v>
      </c>
      <c r="G34" s="67">
        <f>+E34*F34</f>
        <v>65581.049999999959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0.55555559575338997</v>
      </c>
      <c r="G35" s="67">
        <f>+E35*F35</f>
        <v>50932.044490711276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116513.09449071123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1690522.5208628587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30"/>
      <c r="C42" s="230"/>
      <c r="D42" s="230"/>
      <c r="E42" s="231"/>
      <c r="F42" s="231" t="s">
        <v>308</v>
      </c>
      <c r="G42" s="2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253578.37812942881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84526.12604314294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84526.12604314294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422630.63021571469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2113153</v>
      </c>
    </row>
  </sheetData>
  <mergeCells count="1">
    <mergeCell ref="A3:C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H48"/>
  <sheetViews>
    <sheetView topLeftCell="A37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358</v>
      </c>
      <c r="B7" s="24"/>
      <c r="C7" s="23"/>
      <c r="D7" s="2"/>
      <c r="E7" s="24"/>
      <c r="F7" s="2"/>
      <c r="G7" s="24" t="s">
        <v>354</v>
      </c>
      <c r="H7" s="23"/>
    </row>
    <row r="8" spans="1:8">
      <c r="A8" s="22" t="s">
        <v>1300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9787.2460744345499</v>
      </c>
      <c r="H12" s="34"/>
    </row>
    <row r="13" spans="1:8">
      <c r="A13" s="127"/>
      <c r="B13" s="124"/>
      <c r="C13" s="125"/>
      <c r="D13" s="543"/>
      <c r="E13" s="48"/>
      <c r="F13" s="120"/>
      <c r="G13" s="120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9787.2460744345499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/>
      <c r="B26" s="1078"/>
      <c r="C26" s="1079" t="s">
        <v>1632</v>
      </c>
      <c r="D26" s="23"/>
      <c r="E26" s="23"/>
      <c r="F26" s="23"/>
      <c r="G26" s="23"/>
      <c r="H26" s="23"/>
    </row>
    <row r="27" spans="1:8">
      <c r="A27" s="1185"/>
      <c r="B27" s="1216"/>
      <c r="C27" s="1080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1081"/>
      <c r="C28" s="1082"/>
      <c r="D28" s="58"/>
      <c r="E28" s="58"/>
      <c r="F28" s="59"/>
      <c r="G28" s="31"/>
      <c r="H28" s="34"/>
    </row>
    <row r="29" spans="1:8">
      <c r="A29" s="45"/>
      <c r="B29" s="1081"/>
      <c r="C29" s="1083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(C34*D34)</f>
        <v>177068.82218799012</v>
      </c>
      <c r="F34" s="59">
        <v>0.552736837208057</v>
      </c>
      <c r="G34" s="67">
        <f>E34*F34</f>
        <v>97872.460744345488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97872.460744345488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107659.70681878003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16148.956022817005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5382.9853409390016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5382.9853409390016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26914.926704695008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134575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9"/>
  <sheetViews>
    <sheetView topLeftCell="A22" zoomScaleNormal="100" workbookViewId="0">
      <selection activeCell="F37" sqref="F3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682</v>
      </c>
      <c r="H7" s="23"/>
    </row>
    <row r="8" spans="1:8">
      <c r="A8" s="22" t="s">
        <v>684</v>
      </c>
      <c r="B8" s="24"/>
      <c r="C8" s="23"/>
      <c r="D8" s="24"/>
      <c r="E8" s="24"/>
      <c r="F8" s="24"/>
      <c r="G8" s="24" t="s">
        <v>691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H39*10%</f>
        <v>15959.29378649196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15959.29378649196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52" t="s">
        <v>283</v>
      </c>
      <c r="B20" s="553"/>
      <c r="C20" s="554"/>
      <c r="D20" s="554" t="s">
        <v>291</v>
      </c>
      <c r="E20" s="554" t="s">
        <v>292</v>
      </c>
      <c r="F20" s="554" t="s">
        <v>293</v>
      </c>
      <c r="G20" s="388" t="s">
        <v>287</v>
      </c>
      <c r="H20" s="484"/>
    </row>
    <row r="21" spans="1:8">
      <c r="A21" s="45" t="s">
        <v>111</v>
      </c>
      <c r="B21" s="46"/>
      <c r="C21" s="47"/>
      <c r="D21" s="100" t="s">
        <v>9</v>
      </c>
      <c r="E21" s="1071">
        <f>'5,5'!H26</f>
        <v>304127.50499390002</v>
      </c>
      <c r="F21" s="96">
        <v>0.68</v>
      </c>
      <c r="G21" s="485">
        <f>+E21*F21</f>
        <v>206806.70339585203</v>
      </c>
      <c r="H21" s="21"/>
    </row>
    <row r="22" spans="1:8">
      <c r="A22" s="45" t="s">
        <v>1056</v>
      </c>
      <c r="B22" s="46"/>
      <c r="C22" s="47"/>
      <c r="D22" s="30" t="s">
        <v>1054</v>
      </c>
      <c r="E22" s="101">
        <f>MATERIALES!E49</f>
        <v>4666.670000000001</v>
      </c>
      <c r="F22" s="32">
        <v>4</v>
      </c>
      <c r="G22" s="485">
        <f>+E22*F22</f>
        <v>18666.680000000004</v>
      </c>
      <c r="H22" s="21"/>
    </row>
    <row r="23" spans="1:8">
      <c r="A23" s="87" t="s">
        <v>1058</v>
      </c>
      <c r="B23" s="88"/>
      <c r="C23" s="89"/>
      <c r="D23" s="30" t="s">
        <v>1054</v>
      </c>
      <c r="E23" s="48">
        <f>MATERIALES!E30</f>
        <v>1300</v>
      </c>
      <c r="F23" s="32">
        <v>2</v>
      </c>
      <c r="G23" s="485">
        <f>+E23*F23</f>
        <v>2600</v>
      </c>
      <c r="H23" s="21"/>
    </row>
    <row r="24" spans="1:8">
      <c r="A24" s="45" t="s">
        <v>1059</v>
      </c>
      <c r="B24" s="46"/>
      <c r="C24" s="47"/>
      <c r="D24" s="90" t="s">
        <v>139</v>
      </c>
      <c r="E24" s="91">
        <f>MATERIALES!E42</f>
        <v>2588.3333333333335</v>
      </c>
      <c r="F24" s="92">
        <v>0.2</v>
      </c>
      <c r="G24" s="485">
        <f>+E24*F24</f>
        <v>517.66666666666674</v>
      </c>
      <c r="H24" s="21"/>
    </row>
    <row r="25" spans="1:8" ht="15" thickBot="1">
      <c r="A25" s="51"/>
      <c r="B25" s="52"/>
      <c r="C25" s="53"/>
      <c r="D25" s="38"/>
      <c r="E25" s="39"/>
      <c r="F25" s="40"/>
      <c r="G25" s="389"/>
      <c r="H25" s="387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228591.05006251868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37" t="s">
        <v>295</v>
      </c>
      <c r="B28" s="239"/>
      <c r="C28" s="55" t="s">
        <v>296</v>
      </c>
      <c r="D28" s="239" t="s">
        <v>297</v>
      </c>
      <c r="E28" s="239" t="s">
        <v>298</v>
      </c>
      <c r="F28" s="23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37" t="s">
        <v>301</v>
      </c>
      <c r="B34" s="239"/>
      <c r="C34" s="239" t="s">
        <v>302</v>
      </c>
      <c r="D34" s="239" t="s">
        <v>303</v>
      </c>
      <c r="E34" s="85" t="s">
        <v>304</v>
      </c>
      <c r="F34" s="64" t="s">
        <v>286</v>
      </c>
      <c r="G34" s="23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+SALARIOS!D49</f>
        <v>1.724216206485921</v>
      </c>
      <c r="E35" s="31">
        <f>+C35*D35</f>
        <v>112724.31282692426</v>
      </c>
      <c r="F35" s="31">
        <v>0.8</v>
      </c>
      <c r="G35" s="67">
        <f>+E35*F35</f>
        <v>90179.450261539416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+SALARIOS!D50</f>
        <v>1.6318566965480863</v>
      </c>
      <c r="E36" s="31">
        <f>+C36*D36</f>
        <v>86766.859504225213</v>
      </c>
      <c r="F36" s="31">
        <v>0.8</v>
      </c>
      <c r="G36" s="67">
        <f>+E36*F36</f>
        <v>69413.48760338017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159592.9378649196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404143.28171393025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50"/>
      <c r="C43" s="250"/>
      <c r="D43" s="250"/>
      <c r="E43" s="251"/>
      <c r="F43" s="251" t="s">
        <v>308</v>
      </c>
      <c r="G43" s="25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60621.492257089536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20207.164085696513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20207.164085696513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101035.82042848256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505179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topLeftCell="A19" workbookViewId="0">
      <selection activeCell="F34" sqref="F34:G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685</v>
      </c>
      <c r="H7" s="23"/>
    </row>
    <row r="8" spans="1:8">
      <c r="A8" s="22" t="s">
        <v>686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5452.8124276210347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5452.8124276210347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52" t="s">
        <v>283</v>
      </c>
      <c r="B20" s="553"/>
      <c r="C20" s="554"/>
      <c r="D20" s="554" t="s">
        <v>291</v>
      </c>
      <c r="E20" s="554" t="s">
        <v>292</v>
      </c>
      <c r="F20" s="554" t="s">
        <v>293</v>
      </c>
      <c r="G20" s="388" t="s">
        <v>287</v>
      </c>
      <c r="H20" s="484"/>
    </row>
    <row r="21" spans="1:8">
      <c r="A21" s="45" t="s">
        <v>120</v>
      </c>
      <c r="B21" s="46"/>
      <c r="C21" s="47"/>
      <c r="D21" s="100" t="s">
        <v>9</v>
      </c>
      <c r="E21" s="98">
        <f>'5,16'!H25</f>
        <v>276395</v>
      </c>
      <c r="F21" s="96">
        <v>0.11</v>
      </c>
      <c r="G21" s="485">
        <f>+E21*F21</f>
        <v>30403.45</v>
      </c>
      <c r="H21" s="21"/>
    </row>
    <row r="22" spans="1:8">
      <c r="A22" s="45"/>
      <c r="B22" s="46"/>
      <c r="C22" s="47"/>
      <c r="D22" s="30"/>
      <c r="E22" s="101"/>
      <c r="F22" s="32"/>
      <c r="G22" s="67"/>
      <c r="H22" s="21"/>
    </row>
    <row r="23" spans="1:8">
      <c r="A23" s="87"/>
      <c r="B23" s="88"/>
      <c r="C23" s="89"/>
      <c r="D23" s="90"/>
      <c r="E23" s="91"/>
      <c r="F23" s="92"/>
      <c r="G23" s="486"/>
      <c r="H23" s="21"/>
    </row>
    <row r="24" spans="1:8" ht="15" thickBot="1">
      <c r="A24" s="51"/>
      <c r="B24" s="52"/>
      <c r="C24" s="53"/>
      <c r="D24" s="38"/>
      <c r="E24" s="39"/>
      <c r="F24" s="40"/>
      <c r="G24" s="389"/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30403.45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0.26</v>
      </c>
      <c r="G34" s="67">
        <f>+E34*F34</f>
        <v>30691.929179251627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0.26</v>
      </c>
      <c r="G35" s="67">
        <f>+E35*F35</f>
        <v>23836.195096958716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54528.124276210343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90384.386703831377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13557.658005574705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4519.2193351915694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4519.2193351915694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22596.096675957844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112980</v>
      </c>
    </row>
  </sheetData>
  <mergeCells count="1">
    <mergeCell ref="A3:C4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topLeftCell="A19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687</v>
      </c>
      <c r="H7" s="23"/>
    </row>
    <row r="8" spans="1:8">
      <c r="A8" s="22" t="s">
        <v>688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7130.6008668890445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7130.6008668890445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119</v>
      </c>
      <c r="B21" s="46"/>
      <c r="C21" s="47"/>
      <c r="D21" s="100" t="s">
        <v>41</v>
      </c>
      <c r="E21" s="98">
        <f>+MATERIALES!E27</f>
        <v>540</v>
      </c>
      <c r="F21" s="122">
        <v>400</v>
      </c>
      <c r="G21" s="96">
        <f>+E21*F21</f>
        <v>216000</v>
      </c>
      <c r="H21" s="21"/>
    </row>
    <row r="22" spans="1:8">
      <c r="A22" s="86" t="s">
        <v>120</v>
      </c>
      <c r="B22" s="46"/>
      <c r="C22" s="47"/>
      <c r="D22" s="30" t="s">
        <v>9</v>
      </c>
      <c r="E22" s="98">
        <f>'5,16'!H25</f>
        <v>276395</v>
      </c>
      <c r="F22" s="32">
        <v>0.34699999999999998</v>
      </c>
      <c r="G22" s="31">
        <f>+E22*F22</f>
        <v>95909.064999999988</v>
      </c>
      <c r="H22" s="21"/>
    </row>
    <row r="23" spans="1:8">
      <c r="A23" s="87"/>
      <c r="B23" s="88"/>
      <c r="C23" s="89"/>
      <c r="D23" s="90"/>
      <c r="E23" s="48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311909.065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0.34</v>
      </c>
      <c r="G34" s="67">
        <f>+E34*F34</f>
        <v>40135.599695944431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0.34</v>
      </c>
      <c r="G35" s="67">
        <f>+E35*F35</f>
        <v>31170.408972946014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71306.008668890441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390345.67453577952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58551.851180366924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19517.283726788977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19517.283726788977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97586.418633944879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487932</v>
      </c>
    </row>
  </sheetData>
  <mergeCells count="1">
    <mergeCell ref="A3:C4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workbookViewId="0">
      <selection activeCell="M41" sqref="M4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689</v>
      </c>
      <c r="H7" s="23"/>
    </row>
    <row r="8" spans="1:8">
      <c r="A8" s="22" t="s">
        <v>690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16132.580400807374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16132.580400807374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119</v>
      </c>
      <c r="B21" s="46"/>
      <c r="C21" s="47"/>
      <c r="D21" s="100" t="s">
        <v>41</v>
      </c>
      <c r="E21" s="98">
        <f>+MATERIALES!E27</f>
        <v>540</v>
      </c>
      <c r="F21" s="122">
        <v>265</v>
      </c>
      <c r="G21" s="96">
        <f>+E21*F21</f>
        <v>143100</v>
      </c>
      <c r="H21" s="21"/>
    </row>
    <row r="22" spans="1:8">
      <c r="A22" s="86" t="s">
        <v>120</v>
      </c>
      <c r="B22" s="46"/>
      <c r="C22" s="47"/>
      <c r="D22" s="30" t="s">
        <v>9</v>
      </c>
      <c r="E22" s="101">
        <f>'5,16'!H25</f>
        <v>276395</v>
      </c>
      <c r="F22" s="31">
        <v>0.15</v>
      </c>
      <c r="G22" s="31">
        <f>+E22*F22</f>
        <v>41459.25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184559.25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0.7692307336601143</v>
      </c>
      <c r="G34" s="67">
        <f>+E34*F34</f>
        <v>90804.51999999999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0.7692307336601143</v>
      </c>
      <c r="G35" s="67">
        <f>+E35*F35</f>
        <v>70521.284008073737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161325.80400807373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362017.63440888107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54302.645161332162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18100.881720444053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18100.881720444053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90504.408602220268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452522</v>
      </c>
    </row>
  </sheetData>
  <mergeCells count="1">
    <mergeCell ref="A3:C4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topLeftCell="A22" workbookViewId="0">
      <selection activeCell="E21" sqref="E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693</v>
      </c>
      <c r="H7" s="23"/>
    </row>
    <row r="8" spans="1:8">
      <c r="A8" s="22" t="s">
        <v>694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831.54118622275519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831.54118622275519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695</v>
      </c>
      <c r="B21" s="46"/>
      <c r="C21" s="47"/>
      <c r="D21" s="100" t="s">
        <v>28</v>
      </c>
      <c r="E21" s="98">
        <f>+MATERIALES!E3</f>
        <v>2927</v>
      </c>
      <c r="F21" s="96">
        <v>2.25</v>
      </c>
      <c r="G21" s="96">
        <f>+E21*F21</f>
        <v>6585.75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6585.75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7.0442202298600529E-2</v>
      </c>
      <c r="G34" s="67">
        <f>+E34*F34</f>
        <v>8315.411862227551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8315.411862227551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15732.703048450307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2359.9054572675459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786.63515242251538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786.63515242251538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3933.1757621125771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19666</v>
      </c>
    </row>
  </sheetData>
  <mergeCells count="1">
    <mergeCell ref="A3:C4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topLeftCell="A19" workbookViewId="0">
      <selection activeCell="E22" sqref="E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696</v>
      </c>
      <c r="H7" s="23"/>
    </row>
    <row r="8" spans="1:8">
      <c r="A8" s="22" t="s">
        <v>1716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4281.4479851039205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4281.4479851039205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111</v>
      </c>
      <c r="B21" s="46"/>
      <c r="C21" s="47"/>
      <c r="D21" s="100" t="s">
        <v>9</v>
      </c>
      <c r="E21" s="98">
        <f>'5,5'!H26</f>
        <v>304127.50499390002</v>
      </c>
      <c r="F21" s="96">
        <v>0.1</v>
      </c>
      <c r="G21" s="96">
        <f>+E21*F21</f>
        <v>30412.750499390004</v>
      </c>
      <c r="H21" s="21"/>
    </row>
    <row r="22" spans="1:8">
      <c r="A22" s="86" t="s">
        <v>1361</v>
      </c>
      <c r="B22" s="46"/>
      <c r="C22" s="47"/>
      <c r="D22" s="30" t="s">
        <v>1175</v>
      </c>
      <c r="E22" s="101">
        <f>MATERIALES!E158</f>
        <v>535500</v>
      </c>
      <c r="F22" s="120">
        <v>1</v>
      </c>
      <c r="G22" s="31">
        <f>+E22*F22</f>
        <v>535500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565912.75049938995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59">
        <v>0.24</v>
      </c>
      <c r="G34" s="67">
        <f>+E34*F34</f>
        <v>14165.50577503921</v>
      </c>
      <c r="H34" s="34"/>
    </row>
    <row r="35" spans="1:8">
      <c r="A35" s="45" t="s">
        <v>412</v>
      </c>
      <c r="B35" s="46"/>
      <c r="C35" s="65">
        <f>+SALARIOS!C50*1</f>
        <v>73150.25</v>
      </c>
      <c r="D35" s="66">
        <f>+SALARIOS!D50</f>
        <v>1.6318566965480863</v>
      </c>
      <c r="E35" s="31">
        <f>+C35*D35</f>
        <v>119370.72531666665</v>
      </c>
      <c r="F35" s="59">
        <v>0.24</v>
      </c>
      <c r="G35" s="67">
        <f>+E35*F35</f>
        <v>28648.974075999995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42814.479851039207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613008.67833553313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91951.301750329963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30650.433916776659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30650.433916776659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153252.16958388328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766261</v>
      </c>
    </row>
  </sheetData>
  <mergeCells count="1">
    <mergeCell ref="A3:C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topLeftCell="A22" workbookViewId="0">
      <selection activeCell="A18" sqref="A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697</v>
      </c>
      <c r="H7" s="23"/>
    </row>
    <row r="8" spans="1:8">
      <c r="A8" s="22" t="s">
        <v>1717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3541.3764437598024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3541.3764437598024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1364</v>
      </c>
      <c r="B21" s="46"/>
      <c r="C21" s="47"/>
      <c r="D21" s="30" t="s">
        <v>1175</v>
      </c>
      <c r="E21" s="101">
        <f>+MATERIALES!E159</f>
        <v>385362</v>
      </c>
      <c r="F21" s="120">
        <v>1</v>
      </c>
      <c r="G21" s="31">
        <f>+E21*F21</f>
        <v>385362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6"/>
      <c r="B23" s="46"/>
      <c r="C23" s="47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385362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</v>
      </c>
      <c r="G34" s="67">
        <f>+E34*F34</f>
        <v>35413.764437598024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35413.764437598024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424317.14088135783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63647.571132203673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21215.857044067892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21215.857044067892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106079.28522033946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530396</v>
      </c>
    </row>
  </sheetData>
  <mergeCells count="1">
    <mergeCell ref="A3:C4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9"/>
  <sheetViews>
    <sheetView topLeftCell="A25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698</v>
      </c>
      <c r="H7" s="23"/>
    </row>
    <row r="8" spans="1:8" s="11" customFormat="1" ht="24" customHeight="1">
      <c r="A8" s="1235" t="s">
        <v>1063</v>
      </c>
      <c r="B8" s="1235"/>
      <c r="C8" s="1235"/>
      <c r="D8" s="1235"/>
      <c r="E8" s="1235"/>
      <c r="F8" s="555"/>
      <c r="G8" s="555" t="s">
        <v>692</v>
      </c>
      <c r="H8" s="556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H39*10%</f>
        <v>12056.049134333703</v>
      </c>
      <c r="H12" s="34"/>
    </row>
    <row r="13" spans="1:8">
      <c r="A13" s="240"/>
      <c r="B13" s="241"/>
      <c r="C13" s="242"/>
      <c r="D13" s="35"/>
      <c r="E13" s="36"/>
      <c r="F13" s="31"/>
      <c r="G13" s="33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 ht="15" thickBot="1">
      <c r="A16" s="243"/>
      <c r="B16" s="244"/>
      <c r="C16" s="24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12056.049134333703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49" t="s">
        <v>283</v>
      </c>
      <c r="B19" s="250"/>
      <c r="C19" s="251"/>
      <c r="D19" s="251" t="s">
        <v>291</v>
      </c>
      <c r="E19" s="251" t="s">
        <v>292</v>
      </c>
      <c r="F19" s="251" t="s">
        <v>293</v>
      </c>
      <c r="G19" s="250" t="s">
        <v>287</v>
      </c>
      <c r="H19" s="29"/>
    </row>
    <row r="20" spans="1:8">
      <c r="A20" s="86" t="s">
        <v>110</v>
      </c>
      <c r="B20" s="46"/>
      <c r="C20" s="47"/>
      <c r="D20" s="100" t="s">
        <v>9</v>
      </c>
      <c r="E20" s="98">
        <f>'5,2'!H26</f>
        <v>281533.24255262502</v>
      </c>
      <c r="F20" s="49">
        <v>9.6000000000000002E-2</v>
      </c>
      <c r="G20" s="96">
        <f t="shared" ref="G20:G25" si="0">+E20*F20</f>
        <v>27027.191285052002</v>
      </c>
      <c r="H20" s="21"/>
    </row>
    <row r="21" spans="1:8">
      <c r="A21" s="86" t="s">
        <v>111</v>
      </c>
      <c r="B21" s="46"/>
      <c r="C21" s="47"/>
      <c r="D21" s="100" t="s">
        <v>9</v>
      </c>
      <c r="E21" s="98">
        <f>'5,5'!H26</f>
        <v>304127.50499390002</v>
      </c>
      <c r="F21" s="49">
        <v>2.4E-2</v>
      </c>
      <c r="G21" s="96">
        <f t="shared" si="0"/>
        <v>7299.0601198536006</v>
      </c>
      <c r="H21" s="21"/>
    </row>
    <row r="22" spans="1:8">
      <c r="A22" s="86" t="s">
        <v>1147</v>
      </c>
      <c r="B22" s="46"/>
      <c r="C22" s="47"/>
      <c r="D22" s="100" t="s">
        <v>28</v>
      </c>
      <c r="E22" s="98">
        <f>MATERIALES!E3</f>
        <v>2927</v>
      </c>
      <c r="F22" s="122">
        <v>3.2</v>
      </c>
      <c r="G22" s="96">
        <f t="shared" si="0"/>
        <v>9366.4</v>
      </c>
      <c r="H22" s="21"/>
    </row>
    <row r="23" spans="1:8">
      <c r="A23" s="86" t="s">
        <v>119</v>
      </c>
      <c r="B23" s="46"/>
      <c r="C23" s="47"/>
      <c r="D23" s="30" t="s">
        <v>41</v>
      </c>
      <c r="E23" s="560">
        <f>+MATERIALES!E27</f>
        <v>540</v>
      </c>
      <c r="F23" s="48">
        <v>135</v>
      </c>
      <c r="G23" s="31">
        <f t="shared" si="0"/>
        <v>72900</v>
      </c>
      <c r="H23" s="21"/>
    </row>
    <row r="24" spans="1:8">
      <c r="A24" s="87" t="s">
        <v>888</v>
      </c>
      <c r="B24" s="88"/>
      <c r="C24" s="89"/>
      <c r="D24" s="90" t="s">
        <v>9</v>
      </c>
      <c r="E24" s="91">
        <f>'5,15'!H25</f>
        <v>322433.3</v>
      </c>
      <c r="F24" s="92">
        <v>0.06</v>
      </c>
      <c r="G24" s="97">
        <f t="shared" si="0"/>
        <v>19345.998</v>
      </c>
      <c r="H24" s="21"/>
    </row>
    <row r="25" spans="1:8" ht="15" thickBot="1">
      <c r="A25" s="51" t="s">
        <v>1064</v>
      </c>
      <c r="B25" s="52"/>
      <c r="C25" s="53"/>
      <c r="D25" s="38" t="s">
        <v>1054</v>
      </c>
      <c r="E25" s="39">
        <f>MATERIALES!E9</f>
        <v>8266.6666666666661</v>
      </c>
      <c r="F25" s="40">
        <v>5.6</v>
      </c>
      <c r="G25" s="41">
        <f t="shared" si="0"/>
        <v>46293.333333333328</v>
      </c>
      <c r="H25" s="42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SUM(G20:G25)</f>
        <v>182231.98273823893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37" t="s">
        <v>295</v>
      </c>
      <c r="B28" s="239"/>
      <c r="C28" s="55" t="s">
        <v>296</v>
      </c>
      <c r="D28" s="239" t="s">
        <v>297</v>
      </c>
      <c r="E28" s="239" t="s">
        <v>298</v>
      </c>
      <c r="F28" s="23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37" t="s">
        <v>301</v>
      </c>
      <c r="B34" s="239"/>
      <c r="C34" s="239" t="s">
        <v>302</v>
      </c>
      <c r="D34" s="239" t="s">
        <v>303</v>
      </c>
      <c r="E34" s="85" t="s">
        <v>304</v>
      </c>
      <c r="F34" s="64" t="s">
        <v>286</v>
      </c>
      <c r="G34" s="238" t="s">
        <v>287</v>
      </c>
      <c r="H34" s="29"/>
    </row>
    <row r="35" spans="1:8">
      <c r="A35" s="45" t="s">
        <v>464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0.8</v>
      </c>
      <c r="G35" s="67">
        <f>+E35*F35</f>
        <v>47218.352583464039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0.8</v>
      </c>
      <c r="G36" s="67">
        <f>+E36*F36</f>
        <v>73342.138759872978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120560.49134333702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H17+H26+H32+H39</f>
        <v>314848.52321590966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50"/>
      <c r="C43" s="250"/>
      <c r="D43" s="250"/>
      <c r="E43" s="251"/>
      <c r="F43" s="251" t="s">
        <v>308</v>
      </c>
      <c r="G43" s="25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47227.278482386449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15742.426160795483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15742.426160795483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78712.130803977416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393561</v>
      </c>
    </row>
  </sheetData>
  <mergeCells count="2">
    <mergeCell ref="A3:C4"/>
    <mergeCell ref="A8:E8"/>
  </mergeCells>
  <pageMargins left="0.7" right="0.7" top="0.75" bottom="0.75" header="0.3" footer="0.3"/>
  <pageSetup paperSize="9" scale="9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50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699</v>
      </c>
      <c r="H7" s="23"/>
    </row>
    <row r="8" spans="1:8" ht="26.25" customHeight="1">
      <c r="A8" s="1235" t="s">
        <v>1067</v>
      </c>
      <c r="B8" s="1235"/>
      <c r="C8" s="1235"/>
      <c r="D8" s="1235"/>
      <c r="E8" s="1235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H40*10%</f>
        <v>14015.15711866293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14015.15711866293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57" t="s">
        <v>283</v>
      </c>
      <c r="B20" s="558"/>
      <c r="C20" s="559"/>
      <c r="D20" s="559" t="s">
        <v>291</v>
      </c>
      <c r="E20" s="559" t="s">
        <v>292</v>
      </c>
      <c r="F20" s="559" t="s">
        <v>293</v>
      </c>
      <c r="G20" s="388" t="s">
        <v>287</v>
      </c>
      <c r="H20" s="484"/>
    </row>
    <row r="21" spans="1:8">
      <c r="A21" s="45" t="s">
        <v>110</v>
      </c>
      <c r="B21" s="46"/>
      <c r="C21" s="47"/>
      <c r="D21" s="100" t="s">
        <v>9</v>
      </c>
      <c r="E21" s="98">
        <f>'5,2'!H26</f>
        <v>281533.24255262502</v>
      </c>
      <c r="F21" s="49">
        <v>0.2</v>
      </c>
      <c r="G21" s="485">
        <f t="shared" ref="G21:G26" si="0">+E21*F21</f>
        <v>56306.648510525003</v>
      </c>
      <c r="H21" s="21"/>
    </row>
    <row r="22" spans="1:8">
      <c r="A22" s="45" t="s">
        <v>111</v>
      </c>
      <c r="B22" s="46"/>
      <c r="C22" s="47"/>
      <c r="D22" s="100" t="s">
        <v>9</v>
      </c>
      <c r="E22" s="98">
        <f>'5,5'!H26</f>
        <v>304127.50499390002</v>
      </c>
      <c r="F22" s="49">
        <v>2.4E-2</v>
      </c>
      <c r="G22" s="485">
        <f t="shared" si="0"/>
        <v>7299.0601198536006</v>
      </c>
      <c r="H22" s="21"/>
    </row>
    <row r="23" spans="1:8">
      <c r="A23" s="45" t="s">
        <v>1147</v>
      </c>
      <c r="B23" s="46"/>
      <c r="C23" s="47"/>
      <c r="D23" s="100" t="s">
        <v>28</v>
      </c>
      <c r="E23" s="98">
        <f>MATERIALES!E2</f>
        <v>3088</v>
      </c>
      <c r="F23" s="122">
        <v>5</v>
      </c>
      <c r="G23" s="485">
        <f t="shared" si="0"/>
        <v>15440</v>
      </c>
      <c r="H23" s="21"/>
    </row>
    <row r="24" spans="1:8">
      <c r="A24" s="45" t="s">
        <v>119</v>
      </c>
      <c r="B24" s="46"/>
      <c r="C24" s="47"/>
      <c r="D24" s="30" t="s">
        <v>41</v>
      </c>
      <c r="E24" s="560">
        <f>+MATERIALES!E27</f>
        <v>540</v>
      </c>
      <c r="F24" s="48">
        <v>140</v>
      </c>
      <c r="G24" s="67">
        <f t="shared" si="0"/>
        <v>75600</v>
      </c>
      <c r="H24" s="21"/>
    </row>
    <row r="25" spans="1:8">
      <c r="A25" s="87" t="s">
        <v>888</v>
      </c>
      <c r="B25" s="88"/>
      <c r="C25" s="89"/>
      <c r="D25" s="90" t="s">
        <v>9</v>
      </c>
      <c r="E25" s="91">
        <f>'5,15'!H25</f>
        <v>322433.3</v>
      </c>
      <c r="F25" s="92">
        <v>7.0000000000000007E-2</v>
      </c>
      <c r="G25" s="486">
        <f t="shared" si="0"/>
        <v>22570.331000000002</v>
      </c>
      <c r="H25" s="21"/>
    </row>
    <row r="26" spans="1:8" ht="15" thickBot="1">
      <c r="A26" s="51" t="s">
        <v>1064</v>
      </c>
      <c r="B26" s="52"/>
      <c r="C26" s="53"/>
      <c r="D26" s="38" t="s">
        <v>1054</v>
      </c>
      <c r="E26" s="39">
        <f>MATERIALES!E9</f>
        <v>8266.6666666666661</v>
      </c>
      <c r="F26" s="40">
        <v>6.8</v>
      </c>
      <c r="G26" s="389">
        <f t="shared" si="0"/>
        <v>56213.333333333328</v>
      </c>
      <c r="H26" s="21"/>
    </row>
    <row r="27" spans="1:8" ht="15" thickBot="1">
      <c r="A27" s="23"/>
      <c r="B27" s="23"/>
      <c r="C27" s="23"/>
      <c r="D27" s="23"/>
      <c r="E27" s="23"/>
      <c r="F27" s="23"/>
      <c r="G27" s="43" t="s">
        <v>289</v>
      </c>
      <c r="H27" s="44">
        <f>SUM(G21:G26)</f>
        <v>233429.37296371191</v>
      </c>
    </row>
    <row r="28" spans="1:8" ht="15" thickBot="1">
      <c r="A28" s="54" t="s">
        <v>294</v>
      </c>
      <c r="B28" s="54"/>
      <c r="C28" s="52"/>
      <c r="D28" s="23"/>
      <c r="E28" s="23"/>
      <c r="F28" s="23"/>
      <c r="G28" s="23"/>
      <c r="H28" s="23"/>
    </row>
    <row r="29" spans="1:8">
      <c r="A29" s="237" t="s">
        <v>295</v>
      </c>
      <c r="B29" s="239"/>
      <c r="C29" s="55" t="s">
        <v>296</v>
      </c>
      <c r="D29" s="239" t="s">
        <v>297</v>
      </c>
      <c r="E29" s="239" t="s">
        <v>298</v>
      </c>
      <c r="F29" s="239" t="s">
        <v>299</v>
      </c>
      <c r="G29" s="56" t="s">
        <v>287</v>
      </c>
      <c r="H29" s="29"/>
    </row>
    <row r="30" spans="1:8">
      <c r="A30" s="45"/>
      <c r="B30" s="46"/>
      <c r="C30" s="57"/>
      <c r="D30" s="58"/>
      <c r="E30" s="58"/>
      <c r="F30" s="59"/>
      <c r="G30" s="59"/>
      <c r="H30" s="34"/>
    </row>
    <row r="31" spans="1:8">
      <c r="A31" s="45"/>
      <c r="B31" s="46"/>
      <c r="C31" s="60"/>
      <c r="D31" s="30"/>
      <c r="E31" s="58"/>
      <c r="F31" s="59"/>
      <c r="G31" s="59"/>
      <c r="H31" s="34"/>
    </row>
    <row r="32" spans="1:8" ht="15" thickBot="1">
      <c r="A32" s="62"/>
      <c r="B32" s="63"/>
      <c r="C32" s="38"/>
      <c r="D32" s="38"/>
      <c r="E32" s="170"/>
      <c r="F32" s="171"/>
      <c r="G32" s="38"/>
      <c r="H32" s="34"/>
    </row>
    <row r="33" spans="1:8" ht="15" thickBot="1">
      <c r="A33" s="23"/>
      <c r="B33" s="23"/>
      <c r="C33" s="23"/>
      <c r="D33" s="23"/>
      <c r="E33" s="23"/>
      <c r="F33" s="23"/>
      <c r="G33" s="43" t="s">
        <v>289</v>
      </c>
      <c r="H33" s="44">
        <f>SUM(G30:G32)</f>
        <v>0</v>
      </c>
    </row>
    <row r="34" spans="1:8" ht="15" thickBot="1">
      <c r="A34" s="54" t="s">
        <v>300</v>
      </c>
      <c r="B34" s="54"/>
      <c r="C34" s="23"/>
      <c r="D34" s="23"/>
      <c r="E34" s="23"/>
      <c r="F34" s="23"/>
      <c r="G34" s="23"/>
      <c r="H34" s="23"/>
    </row>
    <row r="35" spans="1:8">
      <c r="A35" s="237" t="s">
        <v>301</v>
      </c>
      <c r="B35" s="239"/>
      <c r="C35" s="239" t="s">
        <v>302</v>
      </c>
      <c r="D35" s="239" t="s">
        <v>303</v>
      </c>
      <c r="E35" s="85" t="s">
        <v>304</v>
      </c>
      <c r="F35" s="64" t="s">
        <v>286</v>
      </c>
      <c r="G35" s="238" t="s">
        <v>287</v>
      </c>
      <c r="H35" s="29"/>
    </row>
    <row r="36" spans="1:8">
      <c r="A36" s="45" t="s">
        <v>464</v>
      </c>
      <c r="B36" s="46"/>
      <c r="C36" s="65">
        <f>+SALARIOS!C48</f>
        <v>32688.566666666666</v>
      </c>
      <c r="D36" s="66">
        <f>+SALARIOS!D48</f>
        <v>1.8056142176927319</v>
      </c>
      <c r="E36" s="31">
        <f>+C36*D36</f>
        <v>59022.940729330046</v>
      </c>
      <c r="F36" s="31">
        <v>0.93</v>
      </c>
      <c r="G36" s="67">
        <f>+E36*F36</f>
        <v>54891.334878276946</v>
      </c>
      <c r="H36" s="34"/>
    </row>
    <row r="37" spans="1:8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0.93</v>
      </c>
      <c r="G37" s="67">
        <f>+E37*F37</f>
        <v>85260.236308352338</v>
      </c>
      <c r="H37" s="34"/>
    </row>
    <row r="38" spans="1:8">
      <c r="A38" s="45"/>
      <c r="B38" s="46"/>
      <c r="C38" s="65"/>
      <c r="D38" s="66"/>
      <c r="E38" s="31"/>
      <c r="F38" s="31"/>
      <c r="G38" s="67"/>
      <c r="H38" s="34"/>
    </row>
    <row r="39" spans="1:8" ht="15" thickBot="1">
      <c r="A39" s="62"/>
      <c r="B39" s="68"/>
      <c r="C39" s="39"/>
      <c r="D39" s="53"/>
      <c r="E39" s="102"/>
      <c r="F39" s="53"/>
      <c r="G39" s="52"/>
      <c r="H39" s="42"/>
    </row>
    <row r="40" spans="1:8" ht="15" thickBot="1">
      <c r="A40" s="23"/>
      <c r="B40" s="23"/>
      <c r="C40" s="23"/>
      <c r="D40" s="23"/>
      <c r="E40" s="23"/>
      <c r="F40" s="23"/>
      <c r="G40" s="43" t="s">
        <v>289</v>
      </c>
      <c r="H40" s="44">
        <f>SUM(G36:G39)</f>
        <v>140151.5711866293</v>
      </c>
    </row>
    <row r="41" spans="1:8" ht="15" thickBot="1">
      <c r="A41" s="23"/>
      <c r="B41" s="23"/>
      <c r="C41" s="23"/>
      <c r="D41" s="23"/>
      <c r="E41" s="23"/>
      <c r="F41" s="23"/>
      <c r="G41" s="69"/>
      <c r="H41" s="20"/>
    </row>
    <row r="42" spans="1:8" ht="15" thickBot="1">
      <c r="A42" s="23"/>
      <c r="B42" s="23"/>
      <c r="C42" s="23"/>
      <c r="D42" s="23"/>
      <c r="E42" s="43" t="s">
        <v>306</v>
      </c>
      <c r="F42" s="69"/>
      <c r="G42" s="69"/>
      <c r="H42" s="44">
        <f>H18+H27+H33+H40</f>
        <v>387596.10126900417</v>
      </c>
    </row>
    <row r="43" spans="1:8" ht="15" thickBot="1">
      <c r="A43" s="25" t="s">
        <v>307</v>
      </c>
      <c r="B43" s="25"/>
      <c r="C43" s="23"/>
      <c r="D43" s="23"/>
      <c r="E43" s="23"/>
      <c r="F43" s="23"/>
      <c r="G43" s="23"/>
      <c r="H43" s="23"/>
    </row>
    <row r="44" spans="1:8">
      <c r="A44" s="192" t="s">
        <v>283</v>
      </c>
      <c r="B44" s="250"/>
      <c r="C44" s="250"/>
      <c r="D44" s="250"/>
      <c r="E44" s="251"/>
      <c r="F44" s="251" t="s">
        <v>308</v>
      </c>
      <c r="G44" s="250" t="s">
        <v>309</v>
      </c>
      <c r="H44" s="29"/>
    </row>
    <row r="45" spans="1:8">
      <c r="A45" s="45" t="s">
        <v>310</v>
      </c>
      <c r="B45" s="46"/>
      <c r="C45" s="46"/>
      <c r="D45" s="46"/>
      <c r="E45" s="47"/>
      <c r="F45" s="77">
        <f>+SALARIOS!C43</f>
        <v>0.15</v>
      </c>
      <c r="G45" s="78">
        <f>++F45*H42</f>
        <v>58139.415190350621</v>
      </c>
      <c r="H45" s="79"/>
    </row>
    <row r="46" spans="1:8">
      <c r="A46" s="45" t="s">
        <v>311</v>
      </c>
      <c r="B46" s="46"/>
      <c r="C46" s="46"/>
      <c r="D46" s="46"/>
      <c r="E46" s="47"/>
      <c r="F46" s="77">
        <f>+SALARIOS!C44</f>
        <v>0.05</v>
      </c>
      <c r="G46" s="78">
        <f>+F46*H42</f>
        <v>19379.805063450211</v>
      </c>
      <c r="H46" s="79"/>
    </row>
    <row r="47" spans="1:8" ht="15" thickBot="1">
      <c r="A47" s="51" t="s">
        <v>312</v>
      </c>
      <c r="B47" s="52"/>
      <c r="C47" s="52"/>
      <c r="D47" s="52"/>
      <c r="E47" s="53"/>
      <c r="F47" s="80">
        <f>+SALARIOS!C45</f>
        <v>0.05</v>
      </c>
      <c r="G47" s="81">
        <f>+F47*H42</f>
        <v>19379.805063450211</v>
      </c>
      <c r="H47" s="42"/>
    </row>
    <row r="48" spans="1:8" ht="15" thickBot="1">
      <c r="A48" s="23"/>
      <c r="B48" s="23"/>
      <c r="C48" s="23"/>
      <c r="D48" s="23"/>
      <c r="E48" s="23"/>
      <c r="F48" s="23"/>
      <c r="G48" s="43" t="s">
        <v>289</v>
      </c>
      <c r="H48" s="82">
        <f>SUM(G45:G47)</f>
        <v>96899.025317251042</v>
      </c>
    </row>
    <row r="49" spans="1:8" ht="15" thickBot="1">
      <c r="A49" s="23"/>
      <c r="B49" s="23"/>
      <c r="C49" s="23"/>
      <c r="D49" s="23"/>
      <c r="E49" s="23"/>
      <c r="F49" s="23"/>
      <c r="G49" s="23"/>
      <c r="H49" s="23"/>
    </row>
    <row r="50" spans="1:8" ht="15" thickBot="1">
      <c r="A50" s="2"/>
      <c r="B50" s="2"/>
      <c r="C50" s="23"/>
      <c r="D50" s="43" t="s">
        <v>313</v>
      </c>
      <c r="E50" s="69"/>
      <c r="F50" s="69"/>
      <c r="G50" s="69"/>
      <c r="H50" s="44">
        <f>ROUND((H42+H48),0)</f>
        <v>484495</v>
      </c>
    </row>
  </sheetData>
  <mergeCells count="2">
    <mergeCell ref="A3:C4"/>
    <mergeCell ref="A8:E8"/>
  </mergeCells>
  <pageMargins left="0.7" right="0.7" top="0.75" bottom="0.75" header="0.3" footer="0.3"/>
  <pageSetup paperSize="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50"/>
  <sheetViews>
    <sheetView workbookViewId="0">
      <selection activeCell="F36" sqref="F36:G3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700</v>
      </c>
      <c r="H7" s="23"/>
    </row>
    <row r="8" spans="1:8">
      <c r="A8" s="22" t="s">
        <v>1634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H40*10%</f>
        <v>7319.47235</v>
      </c>
      <c r="H12" s="34"/>
    </row>
    <row r="13" spans="1:8">
      <c r="A13" s="240"/>
      <c r="B13" s="241"/>
      <c r="C13" s="242"/>
      <c r="D13" s="35"/>
      <c r="E13" s="36"/>
      <c r="F13" s="96"/>
      <c r="G13" s="33"/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7319.47235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557" t="s">
        <v>283</v>
      </c>
      <c r="B20" s="558"/>
      <c r="C20" s="559"/>
      <c r="D20" s="559" t="s">
        <v>291</v>
      </c>
      <c r="E20" s="559" t="s">
        <v>292</v>
      </c>
      <c r="F20" s="559" t="s">
        <v>293</v>
      </c>
      <c r="G20" s="388" t="s">
        <v>287</v>
      </c>
      <c r="H20" s="484"/>
    </row>
    <row r="21" spans="1:8">
      <c r="A21" s="45" t="s">
        <v>111</v>
      </c>
      <c r="B21" s="46"/>
      <c r="C21" s="47"/>
      <c r="D21" s="100" t="s">
        <v>9</v>
      </c>
      <c r="E21" s="98">
        <f>'5,5'!H26</f>
        <v>304127.50499390002</v>
      </c>
      <c r="F21" s="434">
        <v>0.35</v>
      </c>
      <c r="G21" s="485">
        <f t="shared" ref="G21:G26" si="0">+E21*F21</f>
        <v>106444.626747865</v>
      </c>
      <c r="H21" s="21"/>
    </row>
    <row r="22" spans="1:8">
      <c r="A22" s="45" t="s">
        <v>1059</v>
      </c>
      <c r="B22" s="46"/>
      <c r="C22" s="47"/>
      <c r="D22" s="30" t="s">
        <v>139</v>
      </c>
      <c r="E22" s="101">
        <f>+MATERIALES!E42</f>
        <v>2588.3333333333335</v>
      </c>
      <c r="F22" s="115">
        <v>1.5</v>
      </c>
      <c r="G22" s="67">
        <f t="shared" si="0"/>
        <v>3882.5</v>
      </c>
      <c r="H22" s="21"/>
    </row>
    <row r="23" spans="1:8">
      <c r="A23" s="87" t="s">
        <v>137</v>
      </c>
      <c r="B23" s="88"/>
      <c r="C23" s="89"/>
      <c r="D23" s="90" t="s">
        <v>28</v>
      </c>
      <c r="E23" s="91">
        <f>+MATERIALES!G8</f>
        <v>6176</v>
      </c>
      <c r="F23" s="1084">
        <v>0.3</v>
      </c>
      <c r="G23" s="486">
        <f t="shared" si="0"/>
        <v>1852.8</v>
      </c>
      <c r="H23" s="21"/>
    </row>
    <row r="24" spans="1:8">
      <c r="A24" s="45" t="s">
        <v>1060</v>
      </c>
      <c r="B24" s="46"/>
      <c r="C24" s="47"/>
      <c r="D24" s="30" t="s">
        <v>1054</v>
      </c>
      <c r="E24" s="48">
        <f>MATERIALES!E49</f>
        <v>4666.670000000001</v>
      </c>
      <c r="F24" s="115">
        <v>3.5</v>
      </c>
      <c r="G24" s="486">
        <f t="shared" si="0"/>
        <v>16333.345000000003</v>
      </c>
      <c r="H24" s="21"/>
    </row>
    <row r="25" spans="1:8">
      <c r="A25" s="45" t="s">
        <v>1068</v>
      </c>
      <c r="B25" s="46"/>
      <c r="C25" s="47"/>
      <c r="D25" s="35" t="s">
        <v>1054</v>
      </c>
      <c r="E25" s="36">
        <f>MATERIALES!E30</f>
        <v>1300</v>
      </c>
      <c r="F25" s="113">
        <v>3.5</v>
      </c>
      <c r="G25" s="486">
        <f t="shared" si="0"/>
        <v>4550</v>
      </c>
      <c r="H25" s="21"/>
    </row>
    <row r="26" spans="1:8" ht="15" thickBot="1">
      <c r="A26" s="51" t="s">
        <v>1635</v>
      </c>
      <c r="B26" s="52"/>
      <c r="C26" s="53"/>
      <c r="D26" s="38" t="s">
        <v>41</v>
      </c>
      <c r="E26" s="39">
        <f>+MATERIALES!E160</f>
        <v>308726</v>
      </c>
      <c r="F26" s="509">
        <v>1</v>
      </c>
      <c r="G26" s="389">
        <f t="shared" si="0"/>
        <v>308726</v>
      </c>
      <c r="H26" s="387"/>
    </row>
    <row r="27" spans="1:8" ht="15" thickBot="1">
      <c r="A27" s="23"/>
      <c r="B27" s="23"/>
      <c r="C27" s="23"/>
      <c r="D27" s="23"/>
      <c r="E27" s="23"/>
      <c r="F27" s="23"/>
      <c r="G27" s="43" t="s">
        <v>289</v>
      </c>
      <c r="H27" s="44">
        <f>SUM(G21:G26)</f>
        <v>441789.27174786502</v>
      </c>
    </row>
    <row r="28" spans="1:8" ht="15" thickBot="1">
      <c r="A28" s="54" t="s">
        <v>294</v>
      </c>
      <c r="B28" s="54"/>
      <c r="C28" s="52"/>
      <c r="D28" s="23"/>
      <c r="E28" s="23"/>
      <c r="F28" s="23"/>
      <c r="G28" s="23"/>
      <c r="H28" s="23"/>
    </row>
    <row r="29" spans="1:8">
      <c r="A29" s="237" t="s">
        <v>295</v>
      </c>
      <c r="B29" s="239"/>
      <c r="C29" s="55" t="s">
        <v>296</v>
      </c>
      <c r="D29" s="239" t="s">
        <v>297</v>
      </c>
      <c r="E29" s="239" t="s">
        <v>298</v>
      </c>
      <c r="F29" s="239" t="s">
        <v>299</v>
      </c>
      <c r="G29" s="56" t="s">
        <v>287</v>
      </c>
      <c r="H29" s="29"/>
    </row>
    <row r="30" spans="1:8">
      <c r="A30" s="45"/>
      <c r="B30" s="46"/>
      <c r="C30" s="57"/>
      <c r="D30" s="58"/>
      <c r="E30" s="58"/>
      <c r="F30" s="59"/>
      <c r="G30" s="59"/>
      <c r="H30" s="34"/>
    </row>
    <row r="31" spans="1:8">
      <c r="A31" s="45"/>
      <c r="B31" s="46"/>
      <c r="C31" s="60"/>
      <c r="D31" s="30"/>
      <c r="E31" s="58"/>
      <c r="F31" s="59"/>
      <c r="G31" s="59"/>
      <c r="H31" s="34"/>
    </row>
    <row r="32" spans="1:8" ht="15" thickBot="1">
      <c r="A32" s="62"/>
      <c r="B32" s="63"/>
      <c r="C32" s="38"/>
      <c r="D32" s="38"/>
      <c r="E32" s="170"/>
      <c r="F32" s="171"/>
      <c r="G32" s="38"/>
      <c r="H32" s="34"/>
    </row>
    <row r="33" spans="1:8" ht="15" thickBot="1">
      <c r="A33" s="23"/>
      <c r="B33" s="23"/>
      <c r="C33" s="23"/>
      <c r="D33" s="23"/>
      <c r="E33" s="23"/>
      <c r="F33" s="23"/>
      <c r="G33" s="43" t="s">
        <v>289</v>
      </c>
      <c r="H33" s="44">
        <f>SUM(G30:G32)</f>
        <v>0</v>
      </c>
    </row>
    <row r="34" spans="1:8" ht="15" thickBot="1">
      <c r="A34" s="54" t="s">
        <v>300</v>
      </c>
      <c r="B34" s="54"/>
      <c r="C34" s="23"/>
      <c r="D34" s="23"/>
      <c r="E34" s="23"/>
      <c r="F34" s="23"/>
      <c r="G34" s="23"/>
      <c r="H34" s="23"/>
    </row>
    <row r="35" spans="1:8">
      <c r="A35" s="237" t="s">
        <v>301</v>
      </c>
      <c r="B35" s="239"/>
      <c r="C35" s="239" t="s">
        <v>302</v>
      </c>
      <c r="D35" s="239" t="s">
        <v>303</v>
      </c>
      <c r="E35" s="85" t="s">
        <v>304</v>
      </c>
      <c r="F35" s="64" t="s">
        <v>286</v>
      </c>
      <c r="G35" s="238" t="s">
        <v>287</v>
      </c>
      <c r="H35" s="29"/>
    </row>
    <row r="36" spans="1:8">
      <c r="A36" s="45" t="s">
        <v>464</v>
      </c>
      <c r="B36" s="46"/>
      <c r="C36" s="65">
        <f>+SALARIOS!C48</f>
        <v>32688.566666666666</v>
      </c>
      <c r="D36" s="66">
        <f>+SALARIOS!D48</f>
        <v>1.8056142176927319</v>
      </c>
      <c r="E36" s="31">
        <f>+C36*D36</f>
        <v>59022.940729330046</v>
      </c>
      <c r="F36" s="31">
        <v>0.72235455355434897</v>
      </c>
      <c r="G36" s="67">
        <f>+E36*F36</f>
        <v>42635.490000000005</v>
      </c>
      <c r="H36" s="34"/>
    </row>
    <row r="37" spans="1:8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0.33333343168573748</v>
      </c>
      <c r="G37" s="67">
        <f>+E37*F37</f>
        <v>30559.233499999995</v>
      </c>
      <c r="H37" s="34"/>
    </row>
    <row r="38" spans="1:8">
      <c r="A38" s="45"/>
      <c r="B38" s="46"/>
      <c r="C38" s="65"/>
      <c r="D38" s="66"/>
      <c r="E38" s="31"/>
      <c r="F38" s="31"/>
      <c r="G38" s="67"/>
      <c r="H38" s="34"/>
    </row>
    <row r="39" spans="1:8" ht="15" thickBot="1">
      <c r="A39" s="62"/>
      <c r="B39" s="68"/>
      <c r="C39" s="39"/>
      <c r="D39" s="53"/>
      <c r="E39" s="102"/>
      <c r="F39" s="53"/>
      <c r="G39" s="52"/>
      <c r="H39" s="42"/>
    </row>
    <row r="40" spans="1:8" ht="15" thickBot="1">
      <c r="A40" s="23"/>
      <c r="B40" s="23"/>
      <c r="C40" s="23"/>
      <c r="D40" s="23"/>
      <c r="E40" s="23"/>
      <c r="F40" s="23"/>
      <c r="G40" s="43" t="s">
        <v>289</v>
      </c>
      <c r="H40" s="44">
        <f>SUM(G36:G39)</f>
        <v>73194.723499999993</v>
      </c>
    </row>
    <row r="41" spans="1:8" ht="15" thickBot="1">
      <c r="A41" s="23"/>
      <c r="B41" s="23"/>
      <c r="C41" s="23"/>
      <c r="D41" s="23"/>
      <c r="E41" s="23"/>
      <c r="F41" s="23"/>
      <c r="G41" s="69"/>
      <c r="H41" s="20"/>
    </row>
    <row r="42" spans="1:8" ht="15" thickBot="1">
      <c r="A42" s="23"/>
      <c r="B42" s="23"/>
      <c r="C42" s="23"/>
      <c r="D42" s="23"/>
      <c r="E42" s="43" t="s">
        <v>306</v>
      </c>
      <c r="F42" s="69"/>
      <c r="G42" s="69"/>
      <c r="H42" s="44">
        <f>H18+H27+H33+H40</f>
        <v>522303.46759786503</v>
      </c>
    </row>
    <row r="43" spans="1:8" ht="15" thickBot="1">
      <c r="A43" s="25" t="s">
        <v>307</v>
      </c>
      <c r="B43" s="25"/>
      <c r="C43" s="23"/>
      <c r="D43" s="23"/>
      <c r="E43" s="23"/>
      <c r="F43" s="23"/>
      <c r="G43" s="23"/>
      <c r="H43" s="23"/>
    </row>
    <row r="44" spans="1:8">
      <c r="A44" s="192" t="s">
        <v>283</v>
      </c>
      <c r="B44" s="250"/>
      <c r="C44" s="250"/>
      <c r="D44" s="250"/>
      <c r="E44" s="251"/>
      <c r="F44" s="251" t="s">
        <v>308</v>
      </c>
      <c r="G44" s="250" t="s">
        <v>309</v>
      </c>
      <c r="H44" s="29"/>
    </row>
    <row r="45" spans="1:8">
      <c r="A45" s="45" t="s">
        <v>310</v>
      </c>
      <c r="B45" s="46"/>
      <c r="C45" s="46"/>
      <c r="D45" s="46"/>
      <c r="E45" s="47"/>
      <c r="F45" s="77">
        <f>+SALARIOS!C43</f>
        <v>0.15</v>
      </c>
      <c r="G45" s="78">
        <f>++F45*H42</f>
        <v>78345.520139679749</v>
      </c>
      <c r="H45" s="79"/>
    </row>
    <row r="46" spans="1:8">
      <c r="A46" s="45" t="s">
        <v>311</v>
      </c>
      <c r="B46" s="46"/>
      <c r="C46" s="46"/>
      <c r="D46" s="46"/>
      <c r="E46" s="47"/>
      <c r="F46" s="77">
        <f>+SALARIOS!C44</f>
        <v>0.05</v>
      </c>
      <c r="G46" s="78">
        <f>+F46*H42</f>
        <v>26115.173379893255</v>
      </c>
      <c r="H46" s="79"/>
    </row>
    <row r="47" spans="1:8" ht="15" thickBot="1">
      <c r="A47" s="51" t="s">
        <v>312</v>
      </c>
      <c r="B47" s="52"/>
      <c r="C47" s="52"/>
      <c r="D47" s="52"/>
      <c r="E47" s="53"/>
      <c r="F47" s="80">
        <f>+SALARIOS!C45</f>
        <v>0.05</v>
      </c>
      <c r="G47" s="81">
        <f>+F47*H42</f>
        <v>26115.173379893255</v>
      </c>
      <c r="H47" s="42"/>
    </row>
    <row r="48" spans="1:8" ht="15" thickBot="1">
      <c r="A48" s="23"/>
      <c r="B48" s="23"/>
      <c r="C48" s="23"/>
      <c r="D48" s="23"/>
      <c r="E48" s="23"/>
      <c r="F48" s="23"/>
      <c r="G48" s="43" t="s">
        <v>289</v>
      </c>
      <c r="H48" s="82">
        <f>SUM(G45:G47)</f>
        <v>130575.86689946626</v>
      </c>
    </row>
    <row r="49" spans="1:8" ht="15" thickBot="1">
      <c r="A49" s="23"/>
      <c r="B49" s="23"/>
      <c r="C49" s="23"/>
      <c r="D49" s="23"/>
      <c r="E49" s="23"/>
      <c r="F49" s="23"/>
      <c r="G49" s="23"/>
      <c r="H49" s="23"/>
    </row>
    <row r="50" spans="1:8" ht="15" thickBot="1">
      <c r="A50" s="2"/>
      <c r="B50" s="2"/>
      <c r="C50" s="23"/>
      <c r="D50" s="43" t="s">
        <v>313</v>
      </c>
      <c r="E50" s="69"/>
      <c r="F50" s="69"/>
      <c r="G50" s="69"/>
      <c r="H50" s="44">
        <f>ROUND((H42+H48),0)</f>
        <v>652879</v>
      </c>
    </row>
  </sheetData>
  <mergeCells count="1">
    <mergeCell ref="A3:C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8"/>
  <sheetViews>
    <sheetView topLeftCell="A34" workbookViewId="0"/>
  </sheetViews>
  <sheetFormatPr baseColWidth="10" defaultRowHeight="14.4"/>
  <sheetData>
    <row r="2" spans="1:9" ht="15" thickBot="1"/>
    <row r="3" spans="1:9">
      <c r="A3" s="1197" t="s">
        <v>317</v>
      </c>
      <c r="B3" s="1198"/>
      <c r="C3" s="1199"/>
      <c r="D3" s="17"/>
      <c r="E3" s="18"/>
      <c r="F3" s="17"/>
      <c r="G3" s="17"/>
      <c r="H3" s="19"/>
    </row>
    <row r="4" spans="1:9">
      <c r="A4" s="1200"/>
      <c r="B4" s="1201"/>
      <c r="C4" s="1202"/>
      <c r="D4" s="20"/>
      <c r="E4" s="13" t="s">
        <v>281</v>
      </c>
      <c r="F4" s="20"/>
      <c r="G4" s="20"/>
      <c r="H4" s="21"/>
    </row>
    <row r="5" spans="1:9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9">
      <c r="A6" s="22"/>
      <c r="B6" s="23"/>
      <c r="C6" s="23"/>
      <c r="D6" s="23"/>
      <c r="E6" s="23"/>
      <c r="F6" s="23"/>
      <c r="G6" s="23"/>
      <c r="H6" s="23"/>
    </row>
    <row r="7" spans="1:9">
      <c r="A7" s="22" t="s">
        <v>358</v>
      </c>
      <c r="B7" s="24"/>
      <c r="C7" s="23"/>
      <c r="D7" s="2"/>
      <c r="E7" s="24"/>
      <c r="F7" s="2"/>
      <c r="G7" s="24" t="s">
        <v>355</v>
      </c>
      <c r="H7" s="23"/>
    </row>
    <row r="8" spans="1:9">
      <c r="A8" s="22" t="s">
        <v>1303</v>
      </c>
      <c r="B8" s="24"/>
      <c r="C8" s="23"/>
      <c r="D8" s="24"/>
      <c r="E8" s="24"/>
      <c r="F8" s="24"/>
      <c r="G8" s="24" t="s">
        <v>1293</v>
      </c>
      <c r="H8" s="23"/>
    </row>
    <row r="9" spans="1:9">
      <c r="A9" s="24"/>
      <c r="B9" s="24"/>
      <c r="C9" s="23"/>
      <c r="D9" s="24"/>
      <c r="E9" s="24"/>
      <c r="F9" s="24"/>
      <c r="G9" s="24"/>
      <c r="H9" s="23"/>
    </row>
    <row r="10" spans="1:9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9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9">
      <c r="A12" s="1191" t="s">
        <v>834</v>
      </c>
      <c r="B12" s="1192"/>
      <c r="C12" s="1193"/>
      <c r="D12" s="30"/>
      <c r="E12" s="48"/>
      <c r="F12" s="120"/>
      <c r="G12" s="33">
        <f>H38*10%</f>
        <v>4424.235693104969</v>
      </c>
      <c r="H12" s="34"/>
    </row>
    <row r="13" spans="1:9">
      <c r="A13" s="127" t="s">
        <v>43</v>
      </c>
      <c r="B13" s="124"/>
      <c r="C13" s="125"/>
      <c r="D13" s="30" t="s">
        <v>7</v>
      </c>
      <c r="E13" s="48">
        <f>+'EQUIPOS '!D6</f>
        <v>84117</v>
      </c>
      <c r="F13" s="120">
        <v>0.33333333333333348</v>
      </c>
      <c r="G13" s="33">
        <f>+E13*F13</f>
        <v>28039.000000000011</v>
      </c>
      <c r="H13" s="34"/>
      <c r="I13" s="604"/>
    </row>
    <row r="14" spans="1:9">
      <c r="A14" s="1191"/>
      <c r="B14" s="1192"/>
      <c r="C14" s="1193"/>
      <c r="D14" s="35"/>
      <c r="E14" s="36"/>
      <c r="F14" s="31"/>
      <c r="G14" s="33"/>
      <c r="H14" s="34"/>
    </row>
    <row r="15" spans="1:9">
      <c r="A15" s="1191"/>
      <c r="B15" s="1192"/>
      <c r="C15" s="1193"/>
      <c r="D15" s="35"/>
      <c r="E15" s="36"/>
      <c r="F15" s="31"/>
      <c r="G15" s="33"/>
      <c r="H15" s="34"/>
    </row>
    <row r="16" spans="1:9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32463.23569310498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1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11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59">
        <v>0.37478950035663422</v>
      </c>
      <c r="G34" s="67">
        <f>E34*F34</f>
        <v>44242.35693104969</v>
      </c>
      <c r="H34" s="34"/>
    </row>
    <row r="35" spans="1:11">
      <c r="A35" s="45"/>
      <c r="B35" s="46"/>
      <c r="C35" s="65"/>
      <c r="D35" s="66"/>
      <c r="E35" s="31"/>
      <c r="F35" s="31"/>
      <c r="G35" s="67"/>
      <c r="H35" s="34"/>
    </row>
    <row r="36" spans="1:11">
      <c r="A36" s="45"/>
      <c r="B36" s="46"/>
      <c r="C36" s="65"/>
      <c r="D36" s="66"/>
      <c r="E36" s="31"/>
      <c r="F36" s="31"/>
      <c r="G36" s="67"/>
      <c r="H36" s="34"/>
    </row>
    <row r="37" spans="1:11" ht="15" thickBot="1">
      <c r="A37" s="62"/>
      <c r="B37" s="68"/>
      <c r="C37" s="39"/>
      <c r="D37" s="53"/>
      <c r="E37" s="102"/>
      <c r="F37" s="53"/>
      <c r="G37" s="52"/>
      <c r="H37" s="42"/>
    </row>
    <row r="38" spans="1:11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44242.35693104969</v>
      </c>
    </row>
    <row r="39" spans="1:11" ht="15" thickBot="1">
      <c r="A39" s="23"/>
      <c r="B39" s="23"/>
      <c r="C39" s="23"/>
      <c r="D39" s="23"/>
      <c r="E39" s="23"/>
      <c r="F39" s="23"/>
      <c r="G39" s="69"/>
      <c r="H39" s="20"/>
    </row>
    <row r="40" spans="1:11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76705.592624154669</v>
      </c>
    </row>
    <row r="41" spans="1:11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1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11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11505.8388936232</v>
      </c>
      <c r="H43" s="79"/>
    </row>
    <row r="44" spans="1:11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3835.2796312077335</v>
      </c>
      <c r="H44" s="79"/>
    </row>
    <row r="45" spans="1:11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3835.2796312077335</v>
      </c>
      <c r="H45" s="42"/>
    </row>
    <row r="46" spans="1:11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19176.398156038667</v>
      </c>
    </row>
    <row r="47" spans="1:11" ht="15" thickBot="1">
      <c r="A47" s="23"/>
      <c r="B47" s="23"/>
      <c r="C47" s="23"/>
      <c r="D47" s="23"/>
      <c r="E47" s="23"/>
      <c r="F47" s="23"/>
      <c r="G47" s="23"/>
      <c r="H47" s="23"/>
    </row>
    <row r="48" spans="1:11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95882</v>
      </c>
      <c r="K48" s="148"/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50"/>
  <sheetViews>
    <sheetView workbookViewId="0">
      <selection activeCell="K44" sqref="K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701</v>
      </c>
      <c r="H7" s="23"/>
    </row>
    <row r="8" spans="1:8">
      <c r="A8" s="22" t="s">
        <v>1636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H40*10%</f>
        <v>7319.47235</v>
      </c>
      <c r="H12" s="34"/>
    </row>
    <row r="13" spans="1:8">
      <c r="A13" s="240"/>
      <c r="B13" s="241"/>
      <c r="C13" s="242"/>
      <c r="D13" s="30"/>
      <c r="E13" s="48"/>
      <c r="F13" s="31"/>
      <c r="G13" s="33"/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7319.47235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45" t="s">
        <v>111</v>
      </c>
      <c r="B21" s="46"/>
      <c r="C21" s="47"/>
      <c r="D21" s="100" t="s">
        <v>9</v>
      </c>
      <c r="E21" s="98">
        <f>'5,5'!H26</f>
        <v>304127.50499390002</v>
      </c>
      <c r="F21" s="113">
        <v>0.4</v>
      </c>
      <c r="G21" s="485">
        <f t="shared" ref="G21:G26" si="0">+E21*F21</f>
        <v>121651.00199756002</v>
      </c>
      <c r="H21" s="21"/>
    </row>
    <row r="22" spans="1:8">
      <c r="A22" s="45" t="s">
        <v>1059</v>
      </c>
      <c r="B22" s="46"/>
      <c r="C22" s="47"/>
      <c r="D22" s="30" t="s">
        <v>139</v>
      </c>
      <c r="E22" s="101">
        <f>+MATERIALES!E42</f>
        <v>2588.3333333333335</v>
      </c>
      <c r="F22" s="115">
        <v>1.5</v>
      </c>
      <c r="G22" s="67">
        <f t="shared" si="0"/>
        <v>3882.5</v>
      </c>
      <c r="H22" s="21"/>
    </row>
    <row r="23" spans="1:8">
      <c r="A23" s="87" t="s">
        <v>137</v>
      </c>
      <c r="B23" s="88"/>
      <c r="C23" s="89"/>
      <c r="D23" s="90" t="s">
        <v>28</v>
      </c>
      <c r="E23" s="91">
        <f>+MATERIALES!G8</f>
        <v>6176</v>
      </c>
      <c r="F23" s="1084">
        <v>0.3</v>
      </c>
      <c r="G23" s="486">
        <f t="shared" si="0"/>
        <v>1852.8</v>
      </c>
      <c r="H23" s="21"/>
    </row>
    <row r="24" spans="1:8">
      <c r="A24" s="45" t="s">
        <v>1060</v>
      </c>
      <c r="B24" s="46"/>
      <c r="C24" s="47"/>
      <c r="D24" s="30" t="s">
        <v>1054</v>
      </c>
      <c r="E24" s="48">
        <f>MATERIALES!E49</f>
        <v>4666.670000000001</v>
      </c>
      <c r="F24" s="115">
        <v>3.5</v>
      </c>
      <c r="G24" s="486">
        <f t="shared" si="0"/>
        <v>16333.345000000003</v>
      </c>
      <c r="H24" s="21"/>
    </row>
    <row r="25" spans="1:8">
      <c r="A25" s="45" t="s">
        <v>1068</v>
      </c>
      <c r="B25" s="46"/>
      <c r="C25" s="47"/>
      <c r="D25" s="35" t="s">
        <v>1054</v>
      </c>
      <c r="E25" s="36">
        <f>MATERIALES!E30</f>
        <v>1300</v>
      </c>
      <c r="F25" s="113">
        <v>3.5</v>
      </c>
      <c r="G25" s="486">
        <f t="shared" si="0"/>
        <v>4550</v>
      </c>
      <c r="H25" s="21"/>
    </row>
    <row r="26" spans="1:8" ht="15" thickBot="1">
      <c r="A26" s="51" t="s">
        <v>1638</v>
      </c>
      <c r="B26" s="52"/>
      <c r="C26" s="53"/>
      <c r="D26" s="38" t="s">
        <v>41</v>
      </c>
      <c r="E26" s="39">
        <f>+MATERIALES!E161</f>
        <v>456167</v>
      </c>
      <c r="F26" s="509">
        <v>1</v>
      </c>
      <c r="G26" s="389">
        <f t="shared" si="0"/>
        <v>456167</v>
      </c>
      <c r="H26" s="21"/>
    </row>
    <row r="27" spans="1:8" ht="15" thickBot="1">
      <c r="A27" s="23"/>
      <c r="B27" s="23"/>
      <c r="C27" s="23"/>
      <c r="D27" s="23"/>
      <c r="E27" s="23"/>
      <c r="F27" s="23"/>
      <c r="G27" s="43" t="s">
        <v>289</v>
      </c>
      <c r="H27" s="44">
        <f>SUM(G21:G26)</f>
        <v>604436.64699756005</v>
      </c>
    </row>
    <row r="28" spans="1:8" ht="15" thickBot="1">
      <c r="A28" s="54" t="s">
        <v>294</v>
      </c>
      <c r="B28" s="54"/>
      <c r="C28" s="52"/>
      <c r="D28" s="23"/>
      <c r="E28" s="23"/>
      <c r="F28" s="23"/>
      <c r="G28" s="23"/>
      <c r="H28" s="23"/>
    </row>
    <row r="29" spans="1:8">
      <c r="A29" s="237" t="s">
        <v>295</v>
      </c>
      <c r="B29" s="239"/>
      <c r="C29" s="55" t="s">
        <v>296</v>
      </c>
      <c r="D29" s="239" t="s">
        <v>297</v>
      </c>
      <c r="E29" s="239" t="s">
        <v>298</v>
      </c>
      <c r="F29" s="239" t="s">
        <v>299</v>
      </c>
      <c r="G29" s="56" t="s">
        <v>287</v>
      </c>
      <c r="H29" s="29"/>
    </row>
    <row r="30" spans="1:8">
      <c r="A30" s="45"/>
      <c r="B30" s="46"/>
      <c r="C30" s="57"/>
      <c r="D30" s="58"/>
      <c r="E30" s="58"/>
      <c r="F30" s="59"/>
      <c r="G30" s="59"/>
      <c r="H30" s="34"/>
    </row>
    <row r="31" spans="1:8">
      <c r="A31" s="45"/>
      <c r="B31" s="46"/>
      <c r="C31" s="60"/>
      <c r="D31" s="30"/>
      <c r="E31" s="58"/>
      <c r="F31" s="59"/>
      <c r="G31" s="59"/>
      <c r="H31" s="34"/>
    </row>
    <row r="32" spans="1:8" ht="15" thickBot="1">
      <c r="A32" s="62"/>
      <c r="B32" s="63"/>
      <c r="C32" s="38"/>
      <c r="D32" s="38"/>
      <c r="E32" s="170"/>
      <c r="F32" s="171"/>
      <c r="G32" s="38"/>
      <c r="H32" s="34"/>
    </row>
    <row r="33" spans="1:8" ht="15" thickBot="1">
      <c r="A33" s="23"/>
      <c r="B33" s="23"/>
      <c r="C33" s="23"/>
      <c r="D33" s="23"/>
      <c r="E33" s="23"/>
      <c r="F33" s="23"/>
      <c r="G33" s="43" t="s">
        <v>289</v>
      </c>
      <c r="H33" s="44">
        <f>SUM(G30:G32)</f>
        <v>0</v>
      </c>
    </row>
    <row r="34" spans="1:8" ht="15" thickBot="1">
      <c r="A34" s="54" t="s">
        <v>300</v>
      </c>
      <c r="B34" s="54"/>
      <c r="C34" s="23"/>
      <c r="D34" s="23"/>
      <c r="E34" s="23"/>
      <c r="F34" s="23"/>
      <c r="G34" s="23"/>
      <c r="H34" s="23"/>
    </row>
    <row r="35" spans="1:8">
      <c r="A35" s="237" t="s">
        <v>301</v>
      </c>
      <c r="B35" s="239"/>
      <c r="C35" s="239" t="s">
        <v>302</v>
      </c>
      <c r="D35" s="239" t="s">
        <v>303</v>
      </c>
      <c r="E35" s="85" t="s">
        <v>304</v>
      </c>
      <c r="F35" s="64" t="s">
        <v>286</v>
      </c>
      <c r="G35" s="238" t="s">
        <v>287</v>
      </c>
      <c r="H35" s="29"/>
    </row>
    <row r="36" spans="1:8">
      <c r="A36" s="45" t="s">
        <v>464</v>
      </c>
      <c r="B36" s="46"/>
      <c r="C36" s="65">
        <f>+SALARIOS!C48</f>
        <v>32688.566666666666</v>
      </c>
      <c r="D36" s="66">
        <f>+SALARIOS!D48</f>
        <v>1.8056142176927319</v>
      </c>
      <c r="E36" s="31">
        <f>+C36*D36</f>
        <v>59022.940729330046</v>
      </c>
      <c r="F36" s="31">
        <v>0.72235455355434897</v>
      </c>
      <c r="G36" s="67">
        <f>+E36*F36</f>
        <v>42635.490000000005</v>
      </c>
      <c r="H36" s="34"/>
    </row>
    <row r="37" spans="1:8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0.33333343168573748</v>
      </c>
      <c r="G37" s="67">
        <f>+E37*F37</f>
        <v>30559.233499999995</v>
      </c>
      <c r="H37" s="34"/>
    </row>
    <row r="38" spans="1:8">
      <c r="A38" s="45"/>
      <c r="B38" s="46"/>
      <c r="C38" s="65"/>
      <c r="D38" s="66"/>
      <c r="E38" s="31"/>
      <c r="F38" s="31"/>
      <c r="G38" s="67"/>
      <c r="H38" s="34"/>
    </row>
    <row r="39" spans="1:8" ht="15" thickBot="1">
      <c r="A39" s="62"/>
      <c r="B39" s="68"/>
      <c r="C39" s="39"/>
      <c r="D39" s="53"/>
      <c r="E39" s="102"/>
      <c r="F39" s="53"/>
      <c r="G39" s="52"/>
      <c r="H39" s="42"/>
    </row>
    <row r="40" spans="1:8" ht="15" thickBot="1">
      <c r="A40" s="23"/>
      <c r="B40" s="23"/>
      <c r="C40" s="23"/>
      <c r="D40" s="23"/>
      <c r="E40" s="23"/>
      <c r="F40" s="23"/>
      <c r="G40" s="43" t="s">
        <v>289</v>
      </c>
      <c r="H40" s="44">
        <f>SUM(G36:G39)</f>
        <v>73194.723499999993</v>
      </c>
    </row>
    <row r="41" spans="1:8" ht="15" thickBot="1">
      <c r="A41" s="23"/>
      <c r="B41" s="23"/>
      <c r="C41" s="23"/>
      <c r="D41" s="23"/>
      <c r="E41" s="23"/>
      <c r="F41" s="23"/>
      <c r="G41" s="69"/>
      <c r="H41" s="20"/>
    </row>
    <row r="42" spans="1:8" ht="15" thickBot="1">
      <c r="A42" s="23"/>
      <c r="B42" s="23"/>
      <c r="C42" s="23"/>
      <c r="D42" s="23"/>
      <c r="E42" s="43" t="s">
        <v>306</v>
      </c>
      <c r="F42" s="69"/>
      <c r="G42" s="69"/>
      <c r="H42" s="44">
        <f>H18+H27+H33+H40</f>
        <v>684950.84284756007</v>
      </c>
    </row>
    <row r="43" spans="1:8" ht="15" thickBot="1">
      <c r="A43" s="25" t="s">
        <v>307</v>
      </c>
      <c r="B43" s="25"/>
      <c r="C43" s="23"/>
      <c r="D43" s="23"/>
      <c r="E43" s="23"/>
      <c r="F43" s="23"/>
      <c r="G43" s="23"/>
      <c r="H43" s="23"/>
    </row>
    <row r="44" spans="1:8">
      <c r="A44" s="192" t="s">
        <v>283</v>
      </c>
      <c r="B44" s="250"/>
      <c r="C44" s="250"/>
      <c r="D44" s="250"/>
      <c r="E44" s="251"/>
      <c r="F44" s="251" t="s">
        <v>308</v>
      </c>
      <c r="G44" s="250" t="s">
        <v>309</v>
      </c>
      <c r="H44" s="29"/>
    </row>
    <row r="45" spans="1:8">
      <c r="A45" s="45" t="s">
        <v>310</v>
      </c>
      <c r="B45" s="46"/>
      <c r="C45" s="46"/>
      <c r="D45" s="46"/>
      <c r="E45" s="47"/>
      <c r="F45" s="77">
        <f>+SALARIOS!C43</f>
        <v>0.15</v>
      </c>
      <c r="G45" s="78">
        <f>++F45*H42</f>
        <v>102742.626427134</v>
      </c>
      <c r="H45" s="79"/>
    </row>
    <row r="46" spans="1:8">
      <c r="A46" s="45" t="s">
        <v>311</v>
      </c>
      <c r="B46" s="46"/>
      <c r="C46" s="46"/>
      <c r="D46" s="46"/>
      <c r="E46" s="47"/>
      <c r="F46" s="77">
        <f>+SALARIOS!C44</f>
        <v>0.05</v>
      </c>
      <c r="G46" s="78">
        <f>+F46*H42</f>
        <v>34247.542142378006</v>
      </c>
      <c r="H46" s="79"/>
    </row>
    <row r="47" spans="1:8" ht="15" thickBot="1">
      <c r="A47" s="51" t="s">
        <v>312</v>
      </c>
      <c r="B47" s="52"/>
      <c r="C47" s="52"/>
      <c r="D47" s="52"/>
      <c r="E47" s="53"/>
      <c r="F47" s="80">
        <f>+SALARIOS!C45</f>
        <v>0.05</v>
      </c>
      <c r="G47" s="81">
        <f>+F47*H42</f>
        <v>34247.542142378006</v>
      </c>
      <c r="H47" s="42"/>
    </row>
    <row r="48" spans="1:8" ht="15" thickBot="1">
      <c r="A48" s="23"/>
      <c r="B48" s="23"/>
      <c r="C48" s="23"/>
      <c r="D48" s="23"/>
      <c r="E48" s="23"/>
      <c r="F48" s="23"/>
      <c r="G48" s="43" t="s">
        <v>289</v>
      </c>
      <c r="H48" s="82">
        <f>SUM(G45:G47)</f>
        <v>171237.71071189002</v>
      </c>
    </row>
    <row r="49" spans="1:8" ht="15" thickBot="1">
      <c r="A49" s="23"/>
      <c r="B49" s="23"/>
      <c r="C49" s="23"/>
      <c r="D49" s="23"/>
      <c r="E49" s="23"/>
      <c r="F49" s="23"/>
      <c r="G49" s="23"/>
      <c r="H49" s="23"/>
    </row>
    <row r="50" spans="1:8" ht="15" thickBot="1">
      <c r="A50" s="2"/>
      <c r="B50" s="2"/>
      <c r="C50" s="23"/>
      <c r="D50" s="43" t="s">
        <v>313</v>
      </c>
      <c r="E50" s="69"/>
      <c r="F50" s="69"/>
      <c r="G50" s="69"/>
      <c r="H50" s="44">
        <f>ROUND((H42+H48),0)</f>
        <v>856189</v>
      </c>
    </row>
  </sheetData>
  <mergeCells count="1">
    <mergeCell ref="A3:C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workbookViewId="0">
      <selection activeCell="K39" sqref="K3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702</v>
      </c>
      <c r="H7" s="23"/>
    </row>
    <row r="8" spans="1:8">
      <c r="A8" s="22" t="s">
        <v>703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5662.5359825295354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5662.5359825295354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704</v>
      </c>
      <c r="B21" s="46"/>
      <c r="C21" s="47"/>
      <c r="D21" s="100" t="s">
        <v>9</v>
      </c>
      <c r="E21" s="98">
        <f>'5,5'!H26</f>
        <v>304127.50499390002</v>
      </c>
      <c r="F21" s="96">
        <v>0.25</v>
      </c>
      <c r="G21" s="96">
        <f>+E21*F21</f>
        <v>76031.876248475004</v>
      </c>
      <c r="H21" s="21"/>
    </row>
    <row r="22" spans="1:8">
      <c r="A22" s="86" t="s">
        <v>140</v>
      </c>
      <c r="B22" s="46"/>
      <c r="C22" s="47"/>
      <c r="D22" s="30" t="s">
        <v>1</v>
      </c>
      <c r="E22" s="101">
        <f>+MATERIALES!E183</f>
        <v>43400.277777777781</v>
      </c>
      <c r="F22" s="120">
        <v>1</v>
      </c>
      <c r="G22" s="31">
        <f>+E22*F22</f>
        <v>43400.277777777781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119432.15402625279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0.27</v>
      </c>
      <c r="G34" s="67">
        <f>+E34*F34</f>
        <v>31872.387993838227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0.27</v>
      </c>
      <c r="G35" s="67">
        <f>+E35*F35</f>
        <v>24752.971831457129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56625.359825295352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181720.04983407765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27258.007475111648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9086.0024917038827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9086.0024917038827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45430.012458519413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227150</v>
      </c>
    </row>
  </sheetData>
  <mergeCells count="1">
    <mergeCell ref="A3:C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workbookViewId="0">
      <selection activeCell="F36" sqref="F3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705</v>
      </c>
      <c r="H7" s="23"/>
    </row>
    <row r="8" spans="1:8">
      <c r="A8" s="22" t="s">
        <v>706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6291.7066472550396</v>
      </c>
      <c r="H12" s="34"/>
    </row>
    <row r="13" spans="1:8">
      <c r="D13" s="126"/>
      <c r="E13" s="126"/>
      <c r="F13" s="126"/>
      <c r="G13" s="126"/>
      <c r="H13" s="21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6291.7066472550396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704</v>
      </c>
      <c r="B21" s="46"/>
      <c r="C21" s="47"/>
      <c r="D21" s="100" t="s">
        <v>9</v>
      </c>
      <c r="E21" s="98">
        <f>'5,5'!H26</f>
        <v>304127.50499390002</v>
      </c>
      <c r="F21" s="96">
        <v>0.25</v>
      </c>
      <c r="G21" s="96">
        <f>+E21*F21</f>
        <v>76031.876248475004</v>
      </c>
      <c r="H21" s="21"/>
    </row>
    <row r="22" spans="1:8">
      <c r="A22" s="86" t="s">
        <v>141</v>
      </c>
      <c r="B22" s="46"/>
      <c r="C22" s="47"/>
      <c r="D22" s="30" t="s">
        <v>1</v>
      </c>
      <c r="E22" s="101">
        <f>+MATERIALES!E185</f>
        <v>93813.333333333328</v>
      </c>
      <c r="F22" s="32">
        <v>1</v>
      </c>
      <c r="G22" s="31">
        <f>+E22*F22</f>
        <v>93813.333333333328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169845.20958180833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</v>
      </c>
      <c r="G34" s="67">
        <f>+E34*F34</f>
        <v>35413.764437598024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</v>
      </c>
      <c r="G35" s="67">
        <f>+E35*F35</f>
        <v>27503.302034952361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62917.066472550388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239053.98270161377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35858.097405242064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11952.699135080689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11952.699135080689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59763.49567540345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298817</v>
      </c>
    </row>
  </sheetData>
  <mergeCells count="1">
    <mergeCell ref="A3:C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workbookViewId="0">
      <selection activeCell="F21" sqref="F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707</v>
      </c>
      <c r="H7" s="23"/>
    </row>
    <row r="8" spans="1:8">
      <c r="A8" s="22" t="s">
        <v>708</v>
      </c>
      <c r="B8" s="24"/>
      <c r="C8" s="23"/>
      <c r="D8" s="24"/>
      <c r="E8" s="24"/>
      <c r="F8" s="24"/>
      <c r="G8" s="24" t="s">
        <v>326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93" t="s">
        <v>709</v>
      </c>
      <c r="B12" s="252"/>
      <c r="C12" s="253"/>
      <c r="D12" s="30" t="s">
        <v>42</v>
      </c>
      <c r="E12" s="48">
        <v>10000</v>
      </c>
      <c r="F12" s="120">
        <v>1</v>
      </c>
      <c r="G12" s="33">
        <f>+E12*F12</f>
        <v>10000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26874.650344984126</v>
      </c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36874.650344984126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710</v>
      </c>
      <c r="B21" s="46"/>
      <c r="C21" s="47"/>
      <c r="D21" s="100" t="s">
        <v>9</v>
      </c>
      <c r="E21" s="98">
        <f>'5,5'!H26</f>
        <v>304127.50499390002</v>
      </c>
      <c r="F21" s="122">
        <v>0.63</v>
      </c>
      <c r="G21" s="96">
        <f>+E21*F21</f>
        <v>191600.328146157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191600.328146157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1.0000000441184946</v>
      </c>
      <c r="G34" s="67">
        <f>+E34*F34</f>
        <v>177068.83000000002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1</v>
      </c>
      <c r="G35" s="67">
        <f>+E35*F35</f>
        <v>91677.673449841212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268746.50344984123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497221.48194098234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74583.222291147351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24861.074097049117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24861.074097049117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124305.37048524558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621527</v>
      </c>
    </row>
  </sheetData>
  <mergeCells count="1">
    <mergeCell ref="A3:C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8"/>
  <sheetViews>
    <sheetView workbookViewId="0">
      <selection activeCell="F36" sqref="F3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683</v>
      </c>
      <c r="B7" s="24"/>
      <c r="C7" s="23"/>
      <c r="D7" s="2"/>
      <c r="E7" s="24"/>
      <c r="F7" s="2"/>
      <c r="G7" s="24" t="s">
        <v>711</v>
      </c>
      <c r="H7" s="23"/>
    </row>
    <row r="8" spans="1:8">
      <c r="A8" s="22" t="s">
        <v>712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93" t="s">
        <v>130</v>
      </c>
      <c r="B12" s="252"/>
      <c r="C12" s="253"/>
      <c r="D12" s="30" t="s">
        <v>1</v>
      </c>
      <c r="E12" s="48">
        <f>+MATERIALES!E22</f>
        <v>1500</v>
      </c>
      <c r="F12" s="120">
        <v>0.15</v>
      </c>
      <c r="G12" s="33">
        <f>+E12/F12</f>
        <v>10000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8062.3948691349406</v>
      </c>
      <c r="H13" s="34"/>
    </row>
    <row r="14" spans="1:8">
      <c r="A14" s="240" t="s">
        <v>1078</v>
      </c>
      <c r="B14" s="241"/>
      <c r="C14" s="242"/>
      <c r="D14" s="35" t="s">
        <v>7</v>
      </c>
      <c r="E14" s="36">
        <f>'EQUIPOS '!D13</f>
        <v>40267</v>
      </c>
      <c r="F14" s="31">
        <v>0.05</v>
      </c>
      <c r="G14" s="33">
        <f>+E14*F14</f>
        <v>2013.3500000000001</v>
      </c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20075.744869134938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710</v>
      </c>
      <c r="B21" s="46"/>
      <c r="C21" s="47"/>
      <c r="D21" s="100" t="s">
        <v>9</v>
      </c>
      <c r="E21" s="98">
        <f>'5,5'!H26</f>
        <v>304127.50499390002</v>
      </c>
      <c r="F21" s="49">
        <v>0.05</v>
      </c>
      <c r="G21" s="96">
        <f>+E21*F21</f>
        <v>15206.375249695002</v>
      </c>
      <c r="H21" s="21"/>
    </row>
    <row r="22" spans="1:8">
      <c r="A22" s="86" t="s">
        <v>125</v>
      </c>
      <c r="B22" s="46"/>
      <c r="C22" s="47"/>
      <c r="D22" s="30" t="s">
        <v>9</v>
      </c>
      <c r="E22" s="101">
        <f>+MATERIALES!E43</f>
        <v>33310.309433333336</v>
      </c>
      <c r="F22" s="32">
        <v>0.05</v>
      </c>
      <c r="G22" s="31">
        <f>+E22*F22</f>
        <v>1665.5154716666668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16871.890721361669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0.3</v>
      </c>
      <c r="G34" s="67">
        <f>+E34*F34</f>
        <v>53120.646656397039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</v>
      </c>
      <c r="G35" s="67">
        <f>+E35*F35</f>
        <v>27503.302034952361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80623.948691349404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117571.58428184601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17635.737642276901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5878.5792140923004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5878.5792140923004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29392.896070461502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146964</v>
      </c>
    </row>
  </sheetData>
  <mergeCells count="1">
    <mergeCell ref="A3:C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workbookViewId="0">
      <selection activeCell="N35" sqref="N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714</v>
      </c>
      <c r="B7" s="24"/>
      <c r="C7" s="23"/>
      <c r="D7" s="2"/>
      <c r="E7" s="24"/>
      <c r="F7" s="2"/>
      <c r="G7" s="24" t="s">
        <v>713</v>
      </c>
      <c r="H7" s="23"/>
    </row>
    <row r="8" spans="1:8">
      <c r="A8" s="22" t="s">
        <v>684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20972.267344984124</v>
      </c>
      <c r="H12" s="34"/>
    </row>
    <row r="13" spans="1:8">
      <c r="A13" s="240"/>
      <c r="B13" s="241"/>
      <c r="C13" s="242"/>
      <c r="D13" s="35"/>
      <c r="E13" s="36"/>
      <c r="F13" s="31"/>
      <c r="G13" s="33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 ht="15" thickBot="1">
      <c r="A16" s="243"/>
      <c r="B16" s="244"/>
      <c r="C16" s="24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20972.267344984124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544" t="s">
        <v>283</v>
      </c>
      <c r="B19" s="545"/>
      <c r="C19" s="546"/>
      <c r="D19" s="546" t="s">
        <v>291</v>
      </c>
      <c r="E19" s="546" t="s">
        <v>292</v>
      </c>
      <c r="F19" s="546" t="s">
        <v>293</v>
      </c>
      <c r="G19" s="388" t="s">
        <v>287</v>
      </c>
      <c r="H19" s="484"/>
    </row>
    <row r="20" spans="1:8">
      <c r="A20" s="45" t="s">
        <v>710</v>
      </c>
      <c r="B20" s="46"/>
      <c r="C20" s="47"/>
      <c r="D20" s="100" t="s">
        <v>9</v>
      </c>
      <c r="E20" s="98">
        <f>'5,5'!H26</f>
        <v>304127.50499390002</v>
      </c>
      <c r="F20" s="96">
        <v>1.06</v>
      </c>
      <c r="G20" s="485">
        <f>+E20*F20</f>
        <v>322375.15529353404</v>
      </c>
      <c r="H20" s="21"/>
    </row>
    <row r="21" spans="1:8">
      <c r="A21" s="45" t="s">
        <v>1056</v>
      </c>
      <c r="B21" s="46"/>
      <c r="C21" s="47"/>
      <c r="D21" s="30" t="s">
        <v>1054</v>
      </c>
      <c r="E21" s="101">
        <f>MATERIALES!E49</f>
        <v>4666.670000000001</v>
      </c>
      <c r="F21" s="32">
        <v>4</v>
      </c>
      <c r="G21" s="485">
        <f>+E21*F21</f>
        <v>18666.680000000004</v>
      </c>
      <c r="H21" s="21"/>
    </row>
    <row r="22" spans="1:8">
      <c r="A22" s="87" t="s">
        <v>1058</v>
      </c>
      <c r="B22" s="88"/>
      <c r="C22" s="89"/>
      <c r="D22" s="30" t="s">
        <v>1054</v>
      </c>
      <c r="E22" s="48">
        <f>MATERIALES!E30</f>
        <v>1300</v>
      </c>
      <c r="F22" s="32">
        <v>2</v>
      </c>
      <c r="G22" s="485">
        <f>+E22*F22</f>
        <v>2600</v>
      </c>
      <c r="H22" s="21"/>
    </row>
    <row r="23" spans="1:8" ht="15" thickBot="1">
      <c r="A23" s="51" t="s">
        <v>1059</v>
      </c>
      <c r="B23" s="52"/>
      <c r="C23" s="53"/>
      <c r="D23" s="549" t="s">
        <v>139</v>
      </c>
      <c r="E23" s="550">
        <f>MATERIALES!E42</f>
        <v>2588.3333333333335</v>
      </c>
      <c r="F23" s="551">
        <v>0.2</v>
      </c>
      <c r="G23" s="389">
        <f>+E23*F23</f>
        <v>517.66666666666674</v>
      </c>
      <c r="H23" s="387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344159.50196020072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37" t="s">
        <v>295</v>
      </c>
      <c r="B26" s="239"/>
      <c r="C26" s="55" t="s">
        <v>296</v>
      </c>
      <c r="D26" s="239" t="s">
        <v>297</v>
      </c>
      <c r="E26" s="239" t="s">
        <v>298</v>
      </c>
      <c r="F26" s="23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37" t="s">
        <v>301</v>
      </c>
      <c r="B32" s="239"/>
      <c r="C32" s="239" t="s">
        <v>302</v>
      </c>
      <c r="D32" s="239" t="s">
        <v>303</v>
      </c>
      <c r="E32" s="85" t="s">
        <v>304</v>
      </c>
      <c r="F32" s="64" t="s">
        <v>286</v>
      </c>
      <c r="G32" s="23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120">
        <v>0.99999253291475143</v>
      </c>
      <c r="G33" s="67">
        <f>+E33*F33</f>
        <v>118045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120">
        <v>1</v>
      </c>
      <c r="G34" s="67">
        <f>+E34*F34</f>
        <v>91677.673449841212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209722.67344984121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574854.44275502604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50"/>
      <c r="C41" s="250"/>
      <c r="D41" s="250"/>
      <c r="E41" s="251"/>
      <c r="F41" s="251" t="s">
        <v>308</v>
      </c>
      <c r="G41" s="25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86228.166413253901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28742.722137751305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28742.722137751305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143713.61068875651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718568</v>
      </c>
    </row>
  </sheetData>
  <mergeCells count="1">
    <mergeCell ref="A3:C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>
      <selection activeCell="F36" sqref="F3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714</v>
      </c>
      <c r="B7" s="24"/>
      <c r="C7" s="23"/>
      <c r="D7" s="2"/>
      <c r="E7" s="24"/>
      <c r="F7" s="2"/>
      <c r="G7" s="24" t="s">
        <v>715</v>
      </c>
      <c r="H7" s="23"/>
    </row>
    <row r="8" spans="1:8">
      <c r="A8" s="22" t="s">
        <v>686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10486.177745425066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10486.177745425066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120</v>
      </c>
      <c r="B21" s="46"/>
      <c r="C21" s="47"/>
      <c r="D21" s="100" t="s">
        <v>9</v>
      </c>
      <c r="E21" s="98">
        <f>'5,16'!H25</f>
        <v>276395</v>
      </c>
      <c r="F21" s="96">
        <v>0.09</v>
      </c>
      <c r="G21" s="96">
        <v>0.09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0.09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0.5</v>
      </c>
      <c r="G34" s="67">
        <f>+E34*F34</f>
        <v>59022.940729330046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0.5</v>
      </c>
      <c r="G35" s="67">
        <f>+E35*F35</f>
        <v>45838.836724920606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104861.77745425065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115348.04519967572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17302.206779951357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5767.4022599837863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5767.4022599837863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28837.01129991893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144185</v>
      </c>
    </row>
  </sheetData>
  <mergeCells count="1">
    <mergeCell ref="A3:C4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714</v>
      </c>
      <c r="B7" s="24"/>
      <c r="C7" s="23"/>
      <c r="D7" s="2"/>
      <c r="E7" s="24"/>
      <c r="F7" s="2"/>
      <c r="G7" s="24" t="s">
        <v>716</v>
      </c>
      <c r="H7" s="23"/>
    </row>
    <row r="8" spans="1:8">
      <c r="A8" s="22" t="s">
        <v>688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12975.334308696747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12975.334308696747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120</v>
      </c>
      <c r="B21" s="46"/>
      <c r="C21" s="47"/>
      <c r="D21" s="100" t="s">
        <v>9</v>
      </c>
      <c r="E21" s="98">
        <f>'5,16'!H25</f>
        <v>276395</v>
      </c>
      <c r="F21" s="122">
        <v>0.45</v>
      </c>
      <c r="G21" s="96">
        <v>0.09</v>
      </c>
      <c r="H21" s="21"/>
    </row>
    <row r="22" spans="1:8">
      <c r="A22" s="86" t="s">
        <v>119</v>
      </c>
      <c r="B22" s="46"/>
      <c r="C22" s="47"/>
      <c r="D22" s="30" t="s">
        <v>41</v>
      </c>
      <c r="E22" s="101">
        <f>+MATERIALES!E27</f>
        <v>540</v>
      </c>
      <c r="F22" s="48">
        <v>490</v>
      </c>
      <c r="G22" s="31">
        <f>+E22*F22</f>
        <v>264600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264600.09000000003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0.71086656275583104</v>
      </c>
      <c r="G34" s="67">
        <f>+E34*F34</f>
        <v>83914.869999999981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0.4999960335167829</v>
      </c>
      <c r="G35" s="67">
        <f>+E35*F35</f>
        <v>45838.473086967482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129753.34308696746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407328.76739566424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61099.315109349634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20366.438369783213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20366.438369783213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101832.19184891606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509161</v>
      </c>
    </row>
  </sheetData>
  <mergeCells count="1">
    <mergeCell ref="A3:C4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>
      <selection activeCell="K34" sqref="K3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714</v>
      </c>
      <c r="B7" s="24"/>
      <c r="C7" s="23"/>
      <c r="D7" s="2"/>
      <c r="E7" s="24"/>
      <c r="F7" s="2"/>
      <c r="G7" s="24" t="s">
        <v>717</v>
      </c>
      <c r="H7" s="23"/>
    </row>
    <row r="8" spans="1:8">
      <c r="A8" s="22" t="s">
        <v>718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16132.602136119354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16132.602136119354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120</v>
      </c>
      <c r="B21" s="46"/>
      <c r="C21" s="47"/>
      <c r="D21" s="100" t="s">
        <v>9</v>
      </c>
      <c r="E21" s="98">
        <f>'5,16'!H25</f>
        <v>276395</v>
      </c>
      <c r="F21" s="96">
        <v>0.18</v>
      </c>
      <c r="G21" s="31">
        <f>+E21*F21</f>
        <v>49751.1</v>
      </c>
      <c r="H21" s="21"/>
    </row>
    <row r="22" spans="1:8">
      <c r="A22" s="86" t="s">
        <v>119</v>
      </c>
      <c r="B22" s="46"/>
      <c r="C22" s="47"/>
      <c r="D22" s="30" t="s">
        <v>41</v>
      </c>
      <c r="E22" s="101">
        <f>+MATERIALES!E27</f>
        <v>540</v>
      </c>
      <c r="F22" s="48">
        <v>300</v>
      </c>
      <c r="G22" s="31">
        <f>+E22*F22</f>
        <v>162000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211751.1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0.7692307336601143</v>
      </c>
      <c r="G34" s="67">
        <f>+E34*F34</f>
        <v>90804.51999999999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0.7692331045003814</v>
      </c>
      <c r="G35" s="67">
        <f>+E35*F35</f>
        <v>70521.501361193543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161326.02136119353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389209.72349731287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58381.458524596928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19460.486174865644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19460.486174865644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97302.430874328216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486512</v>
      </c>
    </row>
  </sheetData>
  <mergeCells count="1">
    <mergeCell ref="A3:C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topLeftCell="A19" workbookViewId="0">
      <selection activeCell="A19" sqref="A1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1750</v>
      </c>
      <c r="H7" s="23"/>
    </row>
    <row r="8" spans="1:8">
      <c r="A8" s="22" t="s">
        <v>721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815.15300000000025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815.15300000000025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143</v>
      </c>
      <c r="B21" s="46"/>
      <c r="C21" s="47"/>
      <c r="D21" s="100" t="s">
        <v>41</v>
      </c>
      <c r="E21" s="98">
        <f>+MATERIALES!E25</f>
        <v>9833.3333333333339</v>
      </c>
      <c r="F21" s="96">
        <v>0.3</v>
      </c>
      <c r="G21" s="96">
        <f>+E21*F21</f>
        <v>2950</v>
      </c>
      <c r="H21" s="21"/>
    </row>
    <row r="22" spans="1:8">
      <c r="A22" s="86" t="s">
        <v>48</v>
      </c>
      <c r="B22" s="46"/>
      <c r="C22" s="47"/>
      <c r="D22" s="30" t="s">
        <v>1054</v>
      </c>
      <c r="E22" s="101">
        <f>+MATERIALES!E52</f>
        <v>1583.3333333333333</v>
      </c>
      <c r="F22" s="31">
        <v>1</v>
      </c>
      <c r="G22" s="31">
        <f>+E22*F22</f>
        <v>1583.3333333333333</v>
      </c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4533.333333333333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0.13810782552129419</v>
      </c>
      <c r="G34" s="67">
        <f>+E34*F34</f>
        <v>8151.5300000000025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8151.5300000000025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13500.016333333337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2025.0024500000004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675.00081666666688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675.00081666666688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3375.0040833333342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16875</v>
      </c>
    </row>
  </sheetData>
  <mergeCells count="1">
    <mergeCell ref="A3:C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H48"/>
  <sheetViews>
    <sheetView topLeftCell="A31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358</v>
      </c>
      <c r="B7" s="24"/>
      <c r="C7" s="23"/>
      <c r="D7" s="2"/>
      <c r="E7" s="24"/>
      <c r="F7" s="2"/>
      <c r="G7" s="24" t="s">
        <v>356</v>
      </c>
      <c r="H7" s="23"/>
    </row>
    <row r="8" spans="1:8">
      <c r="A8" s="22" t="s">
        <v>357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0" t="s">
        <v>284</v>
      </c>
      <c r="E11" s="27" t="s">
        <v>285</v>
      </c>
      <c r="F11" s="110" t="s">
        <v>286</v>
      </c>
      <c r="G11" s="109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7554.9364133542467</v>
      </c>
      <c r="H12" s="34"/>
    </row>
    <row r="13" spans="1:8">
      <c r="A13" s="127" t="s">
        <v>43</v>
      </c>
      <c r="B13" s="124"/>
      <c r="C13" s="125"/>
      <c r="D13" s="30" t="s">
        <v>7</v>
      </c>
      <c r="E13" s="48">
        <f>+'EQUIPOS '!D6</f>
        <v>84117</v>
      </c>
      <c r="F13" s="120">
        <v>0.35714860228932449</v>
      </c>
      <c r="G13" s="33">
        <f>+E13*F13</f>
        <v>30042.26897877111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37597.205392125354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2" t="s">
        <v>291</v>
      </c>
      <c r="E20" s="112" t="s">
        <v>292</v>
      </c>
      <c r="F20" s="112" t="s">
        <v>293</v>
      </c>
      <c r="G20" s="111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0" t="s">
        <v>297</v>
      </c>
      <c r="E27" s="110" t="s">
        <v>298</v>
      </c>
      <c r="F27" s="110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0" t="s">
        <v>302</v>
      </c>
      <c r="D33" s="110" t="s">
        <v>303</v>
      </c>
      <c r="E33" s="85" t="s">
        <v>304</v>
      </c>
      <c r="F33" s="64" t="s">
        <v>286</v>
      </c>
      <c r="G33" s="109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31">
        <v>0.64</v>
      </c>
      <c r="G34" s="67">
        <f>E34*F34</f>
        <v>75549.364133542462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75549.364133542462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113146.56952566782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2" t="s">
        <v>308</v>
      </c>
      <c r="G42" s="111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16971.98542885017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5657.328476283391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5657.328476283391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28286.64238141695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901">
        <f>ROUND((H40+H46),0)</f>
        <v>141433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F16" sqref="F1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02" t="s">
        <v>318</v>
      </c>
      <c r="B5" s="1003"/>
      <c r="C5" s="1004"/>
      <c r="D5" s="990"/>
      <c r="E5" s="991"/>
      <c r="F5" s="991"/>
      <c r="G5" s="991"/>
      <c r="H5" s="99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720</v>
      </c>
      <c r="H7" s="23"/>
    </row>
    <row r="8" spans="1:8">
      <c r="A8" s="22" t="s">
        <v>1446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93" t="s">
        <v>283</v>
      </c>
      <c r="B11" s="994"/>
      <c r="C11" s="995"/>
      <c r="D11" s="995" t="s">
        <v>284</v>
      </c>
      <c r="E11" s="27" t="s">
        <v>285</v>
      </c>
      <c r="F11" s="995" t="s">
        <v>286</v>
      </c>
      <c r="G11" s="994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49.999999999999986</v>
      </c>
      <c r="H12" s="34"/>
    </row>
    <row r="13" spans="1:8">
      <c r="D13" s="126"/>
      <c r="E13" s="126"/>
      <c r="F13" s="126"/>
      <c r="H13" s="34"/>
    </row>
    <row r="14" spans="1:8">
      <c r="A14" s="996"/>
      <c r="B14" s="997"/>
      <c r="C14" s="998"/>
      <c r="D14" s="35"/>
      <c r="E14" s="36"/>
      <c r="F14" s="31"/>
      <c r="G14" s="33"/>
      <c r="H14" s="34"/>
    </row>
    <row r="15" spans="1:8">
      <c r="A15" s="996"/>
      <c r="B15" s="997"/>
      <c r="C15" s="998"/>
      <c r="D15" s="35"/>
      <c r="E15" s="36"/>
      <c r="F15" s="31"/>
      <c r="G15" s="33"/>
      <c r="H15" s="34"/>
    </row>
    <row r="16" spans="1:8">
      <c r="A16" s="996"/>
      <c r="B16" s="997"/>
      <c r="C16" s="998"/>
      <c r="D16" s="35"/>
      <c r="E16" s="36"/>
      <c r="F16" s="31"/>
      <c r="G16" s="33"/>
      <c r="H16" s="34"/>
    </row>
    <row r="17" spans="1:8" ht="15" thickBot="1">
      <c r="A17" s="999"/>
      <c r="B17" s="1000"/>
      <c r="C17" s="1001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49.999999999999986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05" t="s">
        <v>283</v>
      </c>
      <c r="B20" s="1006"/>
      <c r="C20" s="1007"/>
      <c r="D20" s="1007" t="s">
        <v>291</v>
      </c>
      <c r="E20" s="1007" t="s">
        <v>292</v>
      </c>
      <c r="F20" s="1007" t="s">
        <v>293</v>
      </c>
      <c r="G20" s="1006" t="s">
        <v>287</v>
      </c>
      <c r="H20" s="29"/>
    </row>
    <row r="21" spans="1:8">
      <c r="A21" s="45" t="s">
        <v>1448</v>
      </c>
      <c r="B21" s="46"/>
      <c r="C21" s="47"/>
      <c r="D21" s="30" t="s">
        <v>1171</v>
      </c>
      <c r="E21" s="924">
        <f>+MATERIALES!E32</f>
        <v>2569</v>
      </c>
      <c r="F21" s="30">
        <v>1</v>
      </c>
      <c r="G21" s="67">
        <f>E21*F21</f>
        <v>2569</v>
      </c>
      <c r="H21" s="21"/>
    </row>
    <row r="22" spans="1:8">
      <c r="A22" s="45" t="s">
        <v>1449</v>
      </c>
      <c r="B22" s="46"/>
      <c r="C22" s="47"/>
      <c r="D22" s="30" t="s">
        <v>1235</v>
      </c>
      <c r="E22" s="924">
        <f>+MATERIALES!E8</f>
        <v>6038.666666666667</v>
      </c>
      <c r="F22" s="59">
        <v>0.02</v>
      </c>
      <c r="G22" s="67">
        <f>+E22*F22</f>
        <v>120.77333333333334</v>
      </c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2689.7733333333335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93" t="s">
        <v>295</v>
      </c>
      <c r="B27" s="995"/>
      <c r="C27" s="55" t="s">
        <v>296</v>
      </c>
      <c r="D27" s="995" t="s">
        <v>297</v>
      </c>
      <c r="E27" s="995" t="s">
        <v>298</v>
      </c>
      <c r="F27" s="99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93" t="s">
        <v>301</v>
      </c>
      <c r="B33" s="995"/>
      <c r="C33" s="995" t="s">
        <v>302</v>
      </c>
      <c r="D33" s="995" t="s">
        <v>303</v>
      </c>
      <c r="E33" s="85" t="s">
        <v>304</v>
      </c>
      <c r="F33" s="64" t="s">
        <v>286</v>
      </c>
      <c r="G33" s="994" t="s">
        <v>287</v>
      </c>
      <c r="H33" s="29"/>
    </row>
    <row r="34" spans="1:8">
      <c r="A34" s="45" t="s">
        <v>342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8.4712824169998827E-3</v>
      </c>
      <c r="G34" s="67">
        <f>+E34*F34</f>
        <v>499.99999999999983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499.99999999999983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3239.7733333333335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06"/>
      <c r="C42" s="1006"/>
      <c r="D42" s="1006"/>
      <c r="E42" s="1007"/>
      <c r="F42" s="1007" t="s">
        <v>308</v>
      </c>
      <c r="G42" s="100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485.96600000000001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161.98866666666669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161.98866666666669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809.94333333333338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4050</v>
      </c>
    </row>
  </sheetData>
  <mergeCells count="1">
    <mergeCell ref="A3:C4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L27" sqref="L2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02" t="s">
        <v>318</v>
      </c>
      <c r="B5" s="1003"/>
      <c r="C5" s="1004"/>
      <c r="D5" s="990"/>
      <c r="E5" s="991"/>
      <c r="F5" s="991"/>
      <c r="G5" s="991"/>
      <c r="H5" s="99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720</v>
      </c>
      <c r="H7" s="23"/>
    </row>
    <row r="8" spans="1:8">
      <c r="A8" s="22" t="s">
        <v>1450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93" t="s">
        <v>283</v>
      </c>
      <c r="B11" s="994"/>
      <c r="C11" s="995"/>
      <c r="D11" s="995" t="s">
        <v>284</v>
      </c>
      <c r="E11" s="27" t="s">
        <v>285</v>
      </c>
      <c r="F11" s="995" t="s">
        <v>286</v>
      </c>
      <c r="G11" s="994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44.595999999999961</v>
      </c>
      <c r="H12" s="34"/>
    </row>
    <row r="13" spans="1:8">
      <c r="D13" s="126"/>
      <c r="E13" s="126"/>
      <c r="F13" s="126"/>
      <c r="H13" s="34"/>
    </row>
    <row r="14" spans="1:8">
      <c r="A14" s="996"/>
      <c r="B14" s="997"/>
      <c r="C14" s="998"/>
      <c r="D14" s="35"/>
      <c r="E14" s="36"/>
      <c r="F14" s="31"/>
      <c r="G14" s="33"/>
      <c r="H14" s="34"/>
    </row>
    <row r="15" spans="1:8">
      <c r="A15" s="996"/>
      <c r="B15" s="997"/>
      <c r="C15" s="998"/>
      <c r="D15" s="35"/>
      <c r="E15" s="36"/>
      <c r="F15" s="31"/>
      <c r="G15" s="33"/>
      <c r="H15" s="34"/>
    </row>
    <row r="16" spans="1:8">
      <c r="A16" s="996"/>
      <c r="B16" s="997"/>
      <c r="C16" s="998"/>
      <c r="D16" s="35"/>
      <c r="E16" s="36"/>
      <c r="F16" s="31"/>
      <c r="G16" s="33"/>
      <c r="H16" s="34"/>
    </row>
    <row r="17" spans="1:8" ht="15" thickBot="1">
      <c r="A17" s="999"/>
      <c r="B17" s="1000"/>
      <c r="C17" s="1001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44.595999999999961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05" t="s">
        <v>283</v>
      </c>
      <c r="B20" s="1006"/>
      <c r="C20" s="1007"/>
      <c r="D20" s="1007" t="s">
        <v>291</v>
      </c>
      <c r="E20" s="1007" t="s">
        <v>292</v>
      </c>
      <c r="F20" s="1007" t="s">
        <v>293</v>
      </c>
      <c r="G20" s="1006" t="s">
        <v>287</v>
      </c>
      <c r="H20" s="29"/>
    </row>
    <row r="21" spans="1:8">
      <c r="A21" s="45" t="s">
        <v>1452</v>
      </c>
      <c r="B21" s="46"/>
      <c r="C21" s="47"/>
      <c r="D21" s="30" t="s">
        <v>1175</v>
      </c>
      <c r="E21" s="924">
        <f>+MATERIALES!E17</f>
        <v>45633.333333333336</v>
      </c>
      <c r="F21" s="30">
        <v>1</v>
      </c>
      <c r="G21" s="67">
        <f>E21*F21</f>
        <v>45633.333333333336</v>
      </c>
      <c r="H21" s="21"/>
    </row>
    <row r="22" spans="1:8">
      <c r="A22" s="45"/>
      <c r="B22" s="46"/>
      <c r="C22" s="47"/>
      <c r="D22" s="30"/>
      <c r="E22" s="924"/>
      <c r="F22" s="59"/>
      <c r="G22" s="67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45633.333333333336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93" t="s">
        <v>295</v>
      </c>
      <c r="B27" s="995"/>
      <c r="C27" s="55" t="s">
        <v>296</v>
      </c>
      <c r="D27" s="995" t="s">
        <v>297</v>
      </c>
      <c r="E27" s="995" t="s">
        <v>298</v>
      </c>
      <c r="F27" s="99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93" t="s">
        <v>301</v>
      </c>
      <c r="B33" s="995"/>
      <c r="C33" s="995" t="s">
        <v>302</v>
      </c>
      <c r="D33" s="995" t="s">
        <v>303</v>
      </c>
      <c r="E33" s="85" t="s">
        <v>304</v>
      </c>
      <c r="F33" s="64" t="s">
        <v>286</v>
      </c>
      <c r="G33" s="994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7.5557062133705302E-3</v>
      </c>
      <c r="G34" s="67">
        <f>+E34*F34</f>
        <v>445.95999999999958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445.95999999999958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46123.889333333333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06"/>
      <c r="C42" s="1006"/>
      <c r="D42" s="1006"/>
      <c r="E42" s="1007"/>
      <c r="F42" s="1007" t="s">
        <v>308</v>
      </c>
      <c r="G42" s="100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6918.5833999999995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2306.1944666666668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2306.1944666666668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11530.972333333335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57655</v>
      </c>
    </row>
  </sheetData>
  <mergeCells count="1">
    <mergeCell ref="A3:C4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topLeftCell="A19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722</v>
      </c>
      <c r="H7" s="23"/>
    </row>
    <row r="8" spans="1:8">
      <c r="A8" s="22" t="s">
        <v>723</v>
      </c>
      <c r="B8" s="24"/>
      <c r="C8" s="23"/>
      <c r="D8" s="24"/>
      <c r="E8" s="24"/>
      <c r="F8" s="24"/>
      <c r="G8" s="24" t="s">
        <v>326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944.36705166928084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944.36705166928084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49</v>
      </c>
      <c r="B21" s="46"/>
      <c r="C21" s="47"/>
      <c r="D21" s="100" t="s">
        <v>9</v>
      </c>
      <c r="E21" s="98">
        <f>+MATERIALES!E10</f>
        <v>51566.666666666664</v>
      </c>
      <c r="F21" s="96">
        <v>1.05</v>
      </c>
      <c r="G21" s="96">
        <f>+E21*F21</f>
        <v>54145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54145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0.08</v>
      </c>
      <c r="G34" s="67">
        <f>+E34*F34</f>
        <v>9443.6705166928077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9443.6705166928077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64533.037568362088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9679.9556352543132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3226.6518784181044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3226.6518784181044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16133.259392090522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80666</v>
      </c>
    </row>
  </sheetData>
  <mergeCells count="1">
    <mergeCell ref="A3:C4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L48"/>
  <sheetViews>
    <sheetView topLeftCell="A19" workbookViewId="0">
      <selection activeCell="M29" sqref="M2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725</v>
      </c>
      <c r="H7" s="23"/>
    </row>
    <row r="8" spans="1:8">
      <c r="A8" s="22" t="s">
        <v>1091</v>
      </c>
      <c r="B8" s="24"/>
      <c r="C8" s="23"/>
      <c r="D8" s="24"/>
      <c r="E8" s="24"/>
      <c r="F8" s="24"/>
      <c r="G8" s="24" t="s">
        <v>326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1468.0648843595093</v>
      </c>
      <c r="H12" s="34"/>
    </row>
    <row r="13" spans="1:8">
      <c r="D13" s="126"/>
      <c r="E13" s="126"/>
      <c r="F13" s="126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1468.0648843595093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49" t="s">
        <v>283</v>
      </c>
      <c r="B20" s="250"/>
      <c r="C20" s="251"/>
      <c r="D20" s="251" t="s">
        <v>291</v>
      </c>
      <c r="E20" s="251" t="s">
        <v>292</v>
      </c>
      <c r="F20" s="251" t="s">
        <v>293</v>
      </c>
      <c r="G20" s="250" t="s">
        <v>287</v>
      </c>
      <c r="H20" s="29"/>
    </row>
    <row r="21" spans="1:8">
      <c r="A21" s="86" t="s">
        <v>1434</v>
      </c>
      <c r="B21" s="46"/>
      <c r="C21" s="47"/>
      <c r="D21" s="100" t="s">
        <v>9</v>
      </c>
      <c r="E21" s="98">
        <f>+MATERIALES!E54</f>
        <v>81699.892283333334</v>
      </c>
      <c r="F21" s="122">
        <v>1</v>
      </c>
      <c r="G21" s="96">
        <f>+E21*F21</f>
        <v>81699.892283333334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81699.892283333334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37" t="s">
        <v>295</v>
      </c>
      <c r="B27" s="239"/>
      <c r="C27" s="55" t="s">
        <v>296</v>
      </c>
      <c r="D27" s="239" t="s">
        <v>297</v>
      </c>
      <c r="E27" s="239" t="s">
        <v>298</v>
      </c>
      <c r="F27" s="23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2">
      <c r="A33" s="237" t="s">
        <v>301</v>
      </c>
      <c r="B33" s="239"/>
      <c r="C33" s="239" t="s">
        <v>302</v>
      </c>
      <c r="D33" s="239" t="s">
        <v>303</v>
      </c>
      <c r="E33" s="85" t="s">
        <v>304</v>
      </c>
      <c r="F33" s="64" t="s">
        <v>286</v>
      </c>
      <c r="G33" s="238" t="s">
        <v>287</v>
      </c>
      <c r="H33" s="29"/>
      <c r="J33" s="3"/>
      <c r="K33" s="3"/>
      <c r="L33" s="3"/>
    </row>
    <row r="34" spans="1:12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7.0000000000000007E-2</v>
      </c>
      <c r="G34" s="67">
        <f>+E34*F34</f>
        <v>8263.2117021062077</v>
      </c>
      <c r="H34" s="34"/>
      <c r="J34" s="604"/>
      <c r="K34" s="3"/>
      <c r="L34" s="3"/>
    </row>
    <row r="35" spans="1:12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7.0000000000000007E-2</v>
      </c>
      <c r="G35" s="67">
        <f>+E35*F35</f>
        <v>6417.4371414888856</v>
      </c>
      <c r="H35" s="34"/>
      <c r="J35" s="604"/>
      <c r="K35" s="3"/>
      <c r="L35" s="3"/>
    </row>
    <row r="36" spans="1:12">
      <c r="A36" s="45"/>
      <c r="B36" s="46"/>
      <c r="C36" s="65"/>
      <c r="D36" s="66"/>
      <c r="E36" s="31"/>
      <c r="F36" s="31"/>
      <c r="G36" s="67"/>
      <c r="H36" s="34"/>
      <c r="J36" s="3"/>
      <c r="K36" s="3"/>
      <c r="L36" s="3"/>
    </row>
    <row r="37" spans="1:12" ht="15" thickBot="1">
      <c r="A37" s="62"/>
      <c r="B37" s="68"/>
      <c r="C37" s="39"/>
      <c r="D37" s="53"/>
      <c r="E37" s="102"/>
      <c r="F37" s="53"/>
      <c r="G37" s="52"/>
      <c r="H37" s="42"/>
      <c r="J37" s="3"/>
      <c r="K37" s="3"/>
      <c r="L37" s="3"/>
    </row>
    <row r="38" spans="1:12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14680.648843595092</v>
      </c>
      <c r="J38" s="3"/>
      <c r="K38" s="987"/>
      <c r="L38" s="3"/>
    </row>
    <row r="39" spans="1:12" ht="15" thickBot="1">
      <c r="A39" s="23"/>
      <c r="B39" s="23"/>
      <c r="C39" s="23"/>
      <c r="D39" s="23"/>
      <c r="E39" s="23"/>
      <c r="F39" s="23"/>
      <c r="G39" s="69"/>
      <c r="H39" s="20"/>
      <c r="J39" s="3"/>
      <c r="K39" s="3"/>
      <c r="L39" s="3"/>
    </row>
    <row r="40" spans="1:12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97848.606011287935</v>
      </c>
    </row>
    <row r="41" spans="1:12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2">
      <c r="A42" s="192" t="s">
        <v>283</v>
      </c>
      <c r="B42" s="250"/>
      <c r="C42" s="250"/>
      <c r="D42" s="250"/>
      <c r="E42" s="251"/>
      <c r="F42" s="251" t="s">
        <v>308</v>
      </c>
      <c r="G42" s="250" t="s">
        <v>309</v>
      </c>
      <c r="H42" s="29"/>
    </row>
    <row r="43" spans="1:12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14677.29090169319</v>
      </c>
      <c r="H43" s="79"/>
    </row>
    <row r="44" spans="1:12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4892.4303005643969</v>
      </c>
      <c r="H44" s="79"/>
    </row>
    <row r="45" spans="1:12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4892.4303005643969</v>
      </c>
      <c r="H45" s="42"/>
    </row>
    <row r="46" spans="1:12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24462.151502821984</v>
      </c>
    </row>
    <row r="47" spans="1:12" ht="15" thickBot="1">
      <c r="A47" s="23"/>
      <c r="B47" s="23"/>
      <c r="C47" s="23"/>
      <c r="D47" s="23"/>
      <c r="E47" s="23"/>
      <c r="F47" s="23"/>
      <c r="G47" s="23"/>
      <c r="H47" s="23"/>
    </row>
    <row r="48" spans="1:12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122311</v>
      </c>
    </row>
  </sheetData>
  <mergeCells count="1">
    <mergeCell ref="A3:C4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7"/>
  <sheetViews>
    <sheetView topLeftCell="A19" workbookViewId="0">
      <selection activeCell="A9" sqref="A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46" t="s">
        <v>318</v>
      </c>
      <c r="B5" s="247"/>
      <c r="C5" s="248"/>
      <c r="D5" s="234"/>
      <c r="E5" s="235"/>
      <c r="F5" s="235"/>
      <c r="G5" s="235"/>
      <c r="H5" s="23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726</v>
      </c>
      <c r="H7" s="23"/>
    </row>
    <row r="8" spans="1:8">
      <c r="A8" s="22" t="s">
        <v>1453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37" t="s">
        <v>283</v>
      </c>
      <c r="B11" s="238"/>
      <c r="C11" s="239"/>
      <c r="D11" s="239" t="s">
        <v>284</v>
      </c>
      <c r="E11" s="27" t="s">
        <v>285</v>
      </c>
      <c r="F11" s="239" t="s">
        <v>286</v>
      </c>
      <c r="G11" s="23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H37*10%</f>
        <v>1883.7580000000016</v>
      </c>
      <c r="H12" s="34"/>
    </row>
    <row r="13" spans="1:8">
      <c r="A13" s="123"/>
      <c r="B13" s="124"/>
      <c r="C13" s="125"/>
      <c r="D13" s="126"/>
      <c r="E13" s="126"/>
      <c r="F13" s="126"/>
      <c r="G13" s="123"/>
      <c r="H13" s="34"/>
    </row>
    <row r="14" spans="1:8">
      <c r="A14" s="240"/>
      <c r="B14" s="241"/>
      <c r="C14" s="242"/>
      <c r="D14" s="35"/>
      <c r="E14" s="36"/>
      <c r="F14" s="31"/>
      <c r="G14" s="33"/>
      <c r="H14" s="34"/>
    </row>
    <row r="15" spans="1:8">
      <c r="A15" s="240"/>
      <c r="B15" s="241"/>
      <c r="C15" s="242"/>
      <c r="D15" s="35"/>
      <c r="E15" s="36"/>
      <c r="F15" s="31"/>
      <c r="G15" s="33"/>
      <c r="H15" s="34"/>
    </row>
    <row r="16" spans="1:8">
      <c r="A16" s="240"/>
      <c r="B16" s="241"/>
      <c r="C16" s="242"/>
      <c r="D16" s="35"/>
      <c r="E16" s="36"/>
      <c r="F16" s="31"/>
      <c r="G16" s="33"/>
      <c r="H16" s="34"/>
    </row>
    <row r="17" spans="1:8" ht="15" thickBot="1">
      <c r="A17" s="243"/>
      <c r="B17" s="244"/>
      <c r="C17" s="24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1883.7580000000016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495" t="s">
        <v>283</v>
      </c>
      <c r="B20" s="496"/>
      <c r="C20" s="497"/>
      <c r="D20" s="497" t="s">
        <v>291</v>
      </c>
      <c r="E20" s="497" t="s">
        <v>292</v>
      </c>
      <c r="F20" s="497" t="s">
        <v>293</v>
      </c>
      <c r="G20" s="388" t="s">
        <v>287</v>
      </c>
      <c r="H20" s="29"/>
    </row>
    <row r="21" spans="1:8">
      <c r="A21" s="45" t="s">
        <v>727</v>
      </c>
      <c r="B21" s="46"/>
      <c r="C21" s="47"/>
      <c r="D21" s="100" t="s">
        <v>41</v>
      </c>
      <c r="E21" s="98">
        <f>+MATERIALES!E204</f>
        <v>126352.33333333333</v>
      </c>
      <c r="F21" s="122">
        <v>1</v>
      </c>
      <c r="G21" s="485">
        <f>+E21*F21</f>
        <v>126352.33333333333</v>
      </c>
      <c r="H21" s="34"/>
    </row>
    <row r="22" spans="1:8">
      <c r="A22" s="45" t="s">
        <v>1027</v>
      </c>
      <c r="B22" s="46"/>
      <c r="C22" s="47"/>
      <c r="D22" s="30" t="s">
        <v>41</v>
      </c>
      <c r="E22" s="101">
        <f>MATERIALES!E28</f>
        <v>15181</v>
      </c>
      <c r="F22" s="31">
        <v>0.09</v>
      </c>
      <c r="G22" s="485">
        <f>+E22*F22</f>
        <v>1366.29</v>
      </c>
      <c r="H22" s="34"/>
    </row>
    <row r="23" spans="1:8" ht="15" thickBot="1">
      <c r="A23" s="51" t="s">
        <v>1438</v>
      </c>
      <c r="B23" s="52"/>
      <c r="C23" s="53"/>
      <c r="D23" s="38" t="s">
        <v>139</v>
      </c>
      <c r="E23" s="39">
        <f>MATERIALES!E56</f>
        <v>20656</v>
      </c>
      <c r="F23" s="415">
        <v>2.8000000000000001E-2</v>
      </c>
      <c r="G23" s="389">
        <f>+E23*F23</f>
        <v>578.36800000000005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SUM(G21:G23)</f>
        <v>128296.99133333332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37" t="s">
        <v>295</v>
      </c>
      <c r="B26" s="239"/>
      <c r="C26" s="55" t="s">
        <v>296</v>
      </c>
      <c r="D26" s="239" t="s">
        <v>297</v>
      </c>
      <c r="E26" s="239" t="s">
        <v>298</v>
      </c>
      <c r="F26" s="23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37" t="s">
        <v>301</v>
      </c>
      <c r="B32" s="239"/>
      <c r="C32" s="239" t="s">
        <v>302</v>
      </c>
      <c r="D32" s="239" t="s">
        <v>303</v>
      </c>
      <c r="E32" s="85" t="s">
        <v>304</v>
      </c>
      <c r="F32" s="64" t="s">
        <v>286</v>
      </c>
      <c r="G32" s="238" t="s">
        <v>287</v>
      </c>
      <c r="H32" s="29"/>
    </row>
    <row r="33" spans="1:8">
      <c r="A33" s="45" t="s">
        <v>464</v>
      </c>
      <c r="B33" s="46"/>
      <c r="C33" s="65">
        <f>+SALARIOS!C48</f>
        <v>32688.566666666666</v>
      </c>
      <c r="D33" s="66">
        <f>+SALARIOS!D48</f>
        <v>1.8056142176927319</v>
      </c>
      <c r="E33" s="31">
        <f>+C33*D33</f>
        <v>59022.940729330046</v>
      </c>
      <c r="F33" s="31">
        <v>0.12500004081182237</v>
      </c>
      <c r="G33" s="67">
        <f>+E33*F33</f>
        <v>7377.8700000000281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0.12500000893096219</v>
      </c>
      <c r="G34" s="67">
        <f>+E34*F34</f>
        <v>11459.709999999986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18837.580000000016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H18+H24+H30+H37</f>
        <v>149018.32933333336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50"/>
      <c r="C41" s="250"/>
      <c r="D41" s="250"/>
      <c r="E41" s="251"/>
      <c r="F41" s="251" t="s">
        <v>308</v>
      </c>
      <c r="G41" s="25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22352.749400000004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7450.9164666666684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7450.9164666666684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37254.582333333339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186273</v>
      </c>
    </row>
  </sheetData>
  <mergeCells count="1">
    <mergeCell ref="A3:C4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7"/>
  <sheetViews>
    <sheetView topLeftCell="A22" workbookViewId="0">
      <selection activeCell="B9" sqref="B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728</v>
      </c>
      <c r="H7" s="23"/>
    </row>
    <row r="8" spans="1:8" ht="22.5" customHeight="1">
      <c r="A8" s="1235" t="s">
        <v>1454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H37*10%</f>
        <v>6990.7859999999973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6990.7859999999973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731</v>
      </c>
      <c r="B21" s="46"/>
      <c r="C21" s="47"/>
      <c r="D21" s="100" t="s">
        <v>41</v>
      </c>
      <c r="E21" s="98">
        <f>+MATERIALES!E205</f>
        <v>142837</v>
      </c>
      <c r="F21" s="122">
        <v>1</v>
      </c>
      <c r="G21" s="50">
        <f>+E21*F21</f>
        <v>142837</v>
      </c>
      <c r="H21" s="34"/>
    </row>
    <row r="22" spans="1:8">
      <c r="A22" s="45" t="s">
        <v>1027</v>
      </c>
      <c r="B22" s="46"/>
      <c r="C22" s="47"/>
      <c r="D22" s="30" t="s">
        <v>41</v>
      </c>
      <c r="E22" s="101">
        <f>MATERIALES!E28</f>
        <v>15181</v>
      </c>
      <c r="F22" s="31">
        <v>0.09</v>
      </c>
      <c r="G22" s="506">
        <f>+E22*F22</f>
        <v>1366.29</v>
      </c>
      <c r="H22" s="34"/>
    </row>
    <row r="23" spans="1:8" ht="15" thickBot="1">
      <c r="A23" s="51" t="s">
        <v>1438</v>
      </c>
      <c r="B23" s="52"/>
      <c r="C23" s="53"/>
      <c r="D23" s="38" t="s">
        <v>139</v>
      </c>
      <c r="E23" s="39">
        <f>MATERIALES!E56</f>
        <v>20656</v>
      </c>
      <c r="F23" s="415">
        <v>0.03</v>
      </c>
      <c r="G23" s="41">
        <f>+E23*F23</f>
        <v>619.67999999999995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SUM(G21:G23)</f>
        <v>144822.97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57" t="s">
        <v>295</v>
      </c>
      <c r="B26" s="259"/>
      <c r="C26" s="55" t="s">
        <v>296</v>
      </c>
      <c r="D26" s="259" t="s">
        <v>297</v>
      </c>
      <c r="E26" s="259" t="s">
        <v>298</v>
      </c>
      <c r="F26" s="25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57" t="s">
        <v>301</v>
      </c>
      <c r="B32" s="259"/>
      <c r="C32" s="259" t="s">
        <v>302</v>
      </c>
      <c r="D32" s="259" t="s">
        <v>303</v>
      </c>
      <c r="E32" s="85" t="s">
        <v>304</v>
      </c>
      <c r="F32" s="64" t="s">
        <v>286</v>
      </c>
      <c r="G32" s="25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0.33333335745203407</v>
      </c>
      <c r="G33" s="67">
        <f>+E33*F33</f>
        <v>39348.629999999983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0.33333339350850333</v>
      </c>
      <c r="G34" s="67">
        <f>+E34*F34</f>
        <v>30559.229999999989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69907.859999999971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H18+H24+H30+H37</f>
        <v>221721.61599999998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70"/>
      <c r="C41" s="270"/>
      <c r="D41" s="270"/>
      <c r="E41" s="271"/>
      <c r="F41" s="271" t="s">
        <v>308</v>
      </c>
      <c r="G41" s="27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33258.242399999996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11086.0808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11086.0808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55430.403999999995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277152</v>
      </c>
    </row>
  </sheetData>
  <mergeCells count="2">
    <mergeCell ref="A3:C4"/>
    <mergeCell ref="A8:F8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7"/>
  <sheetViews>
    <sheetView workbookViewId="0">
      <selection activeCell="E21" sqref="E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729</v>
      </c>
      <c r="H7" s="23"/>
    </row>
    <row r="8" spans="1:8" ht="22.5" customHeight="1">
      <c r="A8" s="1235" t="s">
        <v>1455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H37*10%</f>
        <v>6448.527000000001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6448.527000000001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732</v>
      </c>
      <c r="B21" s="46"/>
      <c r="C21" s="47"/>
      <c r="D21" s="100" t="s">
        <v>41</v>
      </c>
      <c r="E21" s="98">
        <f>MATERIALES!E206</f>
        <v>214772.33333333334</v>
      </c>
      <c r="F21" s="122">
        <v>1</v>
      </c>
      <c r="G21" s="96">
        <f>+E21*F21</f>
        <v>214772.33333333334</v>
      </c>
      <c r="H21" s="21"/>
    </row>
    <row r="22" spans="1:8">
      <c r="A22" s="45" t="s">
        <v>1027</v>
      </c>
      <c r="B22" s="46"/>
      <c r="C22" s="47"/>
      <c r="D22" s="30" t="s">
        <v>41</v>
      </c>
      <c r="E22" s="101">
        <f>MATERIALES!E28</f>
        <v>15181</v>
      </c>
      <c r="F22" s="31">
        <v>0.09</v>
      </c>
      <c r="G22" s="506">
        <f>+E22*F22</f>
        <v>1366.29</v>
      </c>
      <c r="H22" s="21"/>
    </row>
    <row r="23" spans="1:8" ht="15" thickBot="1">
      <c r="A23" s="51" t="s">
        <v>1438</v>
      </c>
      <c r="B23" s="52"/>
      <c r="C23" s="53"/>
      <c r="D23" s="38" t="s">
        <v>139</v>
      </c>
      <c r="E23" s="39">
        <f>MATERIALES!E56</f>
        <v>20656</v>
      </c>
      <c r="F23" s="415">
        <v>3.2000000000000001E-2</v>
      </c>
      <c r="G23" s="41">
        <f>+E23*F23</f>
        <v>660.99199999999996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SUM(G21:G23)</f>
        <v>216799.61533333335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57" t="s">
        <v>295</v>
      </c>
      <c r="B26" s="259"/>
      <c r="C26" s="55" t="s">
        <v>296</v>
      </c>
      <c r="D26" s="259" t="s">
        <v>297</v>
      </c>
      <c r="E26" s="259" t="s">
        <v>298</v>
      </c>
      <c r="F26" s="25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57" t="s">
        <v>301</v>
      </c>
      <c r="B32" s="259"/>
      <c r="C32" s="259" t="s">
        <v>302</v>
      </c>
      <c r="D32" s="259" t="s">
        <v>303</v>
      </c>
      <c r="E32" s="85" t="s">
        <v>304</v>
      </c>
      <c r="F32" s="64" t="s">
        <v>286</v>
      </c>
      <c r="G32" s="258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0.36451072640826376</v>
      </c>
      <c r="G33" s="67">
        <f>+E33*F33</f>
        <v>43028.989999999983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0.23404040692349382</v>
      </c>
      <c r="G34" s="67">
        <f>+E34*F34</f>
        <v>21456.280000000021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64485.270000000004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H18+H24+H30+H37</f>
        <v>287733.41233333334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70"/>
      <c r="C41" s="270"/>
      <c r="D41" s="270"/>
      <c r="E41" s="271"/>
      <c r="F41" s="271" t="s">
        <v>308</v>
      </c>
      <c r="G41" s="27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43160.011850000003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14386.670616666668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14386.670616666668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71933.353083333335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359667</v>
      </c>
    </row>
  </sheetData>
  <mergeCells count="2">
    <mergeCell ref="A3:C4"/>
    <mergeCell ref="A8:F8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J48"/>
  <sheetViews>
    <sheetView topLeftCell="A16"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730</v>
      </c>
      <c r="H7" s="23"/>
    </row>
    <row r="8" spans="1:8">
      <c r="A8" s="22" t="s">
        <v>1443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H38*10%</f>
        <v>5872.2595374380371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05" t="s">
        <v>283</v>
      </c>
      <c r="B20" s="1006"/>
      <c r="C20" s="1007"/>
      <c r="D20" s="1007" t="s">
        <v>291</v>
      </c>
      <c r="E20" s="1007" t="s">
        <v>292</v>
      </c>
      <c r="F20" s="1007" t="s">
        <v>293</v>
      </c>
      <c r="G20" s="388" t="s">
        <v>287</v>
      </c>
      <c r="H20" s="484"/>
    </row>
    <row r="21" spans="1:8">
      <c r="A21" s="45" t="s">
        <v>1597</v>
      </c>
      <c r="B21" s="46"/>
      <c r="C21" s="47"/>
      <c r="D21" s="100" t="s">
        <v>41</v>
      </c>
      <c r="E21" s="98">
        <f>MATERIALES!E198</f>
        <v>223796.33333333334</v>
      </c>
      <c r="F21" s="122">
        <v>1</v>
      </c>
      <c r="G21" s="485">
        <f>+E21*F21</f>
        <v>223796.33333333334</v>
      </c>
      <c r="H21" s="21"/>
    </row>
    <row r="22" spans="1:8">
      <c r="A22" s="45" t="s">
        <v>1445</v>
      </c>
      <c r="B22" s="46"/>
      <c r="C22" s="47"/>
      <c r="D22" s="100" t="s">
        <v>1175</v>
      </c>
      <c r="E22" s="98">
        <f>+MATERIALES!E4</f>
        <v>50000</v>
      </c>
      <c r="F22" s="122">
        <v>0.2</v>
      </c>
      <c r="G22" s="485">
        <f>+E22*F22</f>
        <v>10000</v>
      </c>
      <c r="H22" s="21"/>
    </row>
    <row r="23" spans="1:8">
      <c r="A23" s="45" t="s">
        <v>1027</v>
      </c>
      <c r="B23" s="46"/>
      <c r="C23" s="47"/>
      <c r="D23" s="30" t="s">
        <v>41</v>
      </c>
      <c r="E23" s="101">
        <f>MATERIALES!E28</f>
        <v>15181</v>
      </c>
      <c r="F23" s="31">
        <v>0.09</v>
      </c>
      <c r="G23" s="1008">
        <f>+E23*F23</f>
        <v>1366.29</v>
      </c>
      <c r="H23" s="21"/>
    </row>
    <row r="24" spans="1:8" ht="15" thickBot="1">
      <c r="A24" s="62" t="s">
        <v>1028</v>
      </c>
      <c r="B24" s="52"/>
      <c r="C24" s="53"/>
      <c r="D24" s="549" t="s">
        <v>28</v>
      </c>
      <c r="E24" s="550">
        <f>MATERIALES!E7</f>
        <v>4166.666666666667</v>
      </c>
      <c r="F24" s="551">
        <v>1.4999999999999999E-2</v>
      </c>
      <c r="G24" s="389">
        <f>+E24*F24</f>
        <v>62.5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235225.12333333335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120">
        <v>0.28000000000000003</v>
      </c>
      <c r="G34" s="67">
        <f>+E34*F34</f>
        <v>33052.846808424831</v>
      </c>
      <c r="H34" s="34"/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120">
        <v>0.28000000000000003</v>
      </c>
      <c r="G35" s="67">
        <f>+E35*F35</f>
        <v>25669.748565955542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58722.595374380369</v>
      </c>
      <c r="J38">
        <f>+H38/1.07</f>
        <v>54880.930256430249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299819.97824515175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44972.996736772759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14990.998912257588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14990.998912257588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74954.994561287938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374775</v>
      </c>
    </row>
  </sheetData>
  <mergeCells count="1">
    <mergeCell ref="A3:C4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9"/>
  <sheetViews>
    <sheetView topLeftCell="A19" workbookViewId="0">
      <selection activeCell="C16" sqref="C1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733</v>
      </c>
      <c r="H7" s="23"/>
    </row>
    <row r="8" spans="1:8">
      <c r="A8" s="22" t="s">
        <v>734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H39*10%</f>
        <v>5872.2595374380371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 ht="15" thickBot="1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1009" t="s">
        <v>1598</v>
      </c>
      <c r="B21" s="1010"/>
      <c r="C21" s="1011"/>
      <c r="D21" s="1012" t="s">
        <v>41</v>
      </c>
      <c r="E21" s="1013">
        <f>MATERIALES!E199</f>
        <v>245384.66666666666</v>
      </c>
      <c r="F21" s="1014">
        <v>1</v>
      </c>
      <c r="G21" s="1015">
        <f>+E21*F21</f>
        <v>245384.66666666666</v>
      </c>
      <c r="H21" s="21"/>
    </row>
    <row r="22" spans="1:8">
      <c r="A22" s="45" t="s">
        <v>1445</v>
      </c>
      <c r="B22" s="46"/>
      <c r="C22" s="47"/>
      <c r="D22" s="100" t="s">
        <v>1175</v>
      </c>
      <c r="E22" s="98">
        <f>+MATERIALES!E4</f>
        <v>50000</v>
      </c>
      <c r="F22" s="122">
        <v>0.2</v>
      </c>
      <c r="G22" s="485">
        <f>+E22*F22</f>
        <v>10000</v>
      </c>
      <c r="H22" s="21"/>
    </row>
    <row r="23" spans="1:8">
      <c r="A23" s="45" t="s">
        <v>1027</v>
      </c>
      <c r="B23" s="46"/>
      <c r="C23" s="47"/>
      <c r="D23" s="30" t="s">
        <v>41</v>
      </c>
      <c r="E23" s="101">
        <f>MATERIALES!E28</f>
        <v>15181</v>
      </c>
      <c r="F23" s="31">
        <v>0.09</v>
      </c>
      <c r="G23" s="1008">
        <f>+E23*F23</f>
        <v>1366.29</v>
      </c>
      <c r="H23" s="21"/>
    </row>
    <row r="24" spans="1:8">
      <c r="A24" s="45" t="s">
        <v>1028</v>
      </c>
      <c r="B24" s="88"/>
      <c r="C24" s="89"/>
      <c r="D24" s="90" t="s">
        <v>28</v>
      </c>
      <c r="E24" s="91">
        <f>MATERIALES!E7</f>
        <v>4166.666666666667</v>
      </c>
      <c r="F24" s="92">
        <v>1.4999999999999999E-2</v>
      </c>
      <c r="G24" s="485">
        <f>+E24*F24</f>
        <v>62.5</v>
      </c>
      <c r="H24" s="21"/>
    </row>
    <row r="25" spans="1:8" ht="15" thickBot="1">
      <c r="A25" s="51"/>
      <c r="B25" s="52"/>
      <c r="C25" s="53"/>
      <c r="D25" s="38"/>
      <c r="E25" s="39"/>
      <c r="F25" s="415"/>
      <c r="G25" s="389"/>
      <c r="H25" s="387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256813.45666666667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57" t="s">
        <v>295</v>
      </c>
      <c r="B28" s="259"/>
      <c r="C28" s="55" t="s">
        <v>296</v>
      </c>
      <c r="D28" s="259" t="s">
        <v>297</v>
      </c>
      <c r="E28" s="259" t="s">
        <v>298</v>
      </c>
      <c r="F28" s="25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57" t="s">
        <v>301</v>
      </c>
      <c r="B34" s="259"/>
      <c r="C34" s="259" t="s">
        <v>302</v>
      </c>
      <c r="D34" s="259" t="s">
        <v>303</v>
      </c>
      <c r="E34" s="85" t="s">
        <v>304</v>
      </c>
      <c r="F34" s="64" t="s">
        <v>286</v>
      </c>
      <c r="G34" s="25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0.28000000000000003</v>
      </c>
      <c r="G35" s="67">
        <f>+E35*F35</f>
        <v>33052.846808424831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0.28000000000000003</v>
      </c>
      <c r="G36" s="67">
        <f>+E36*F36</f>
        <v>25669.748565955542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58722.595374380369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321408.31157848507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70"/>
      <c r="C43" s="270"/>
      <c r="D43" s="270"/>
      <c r="E43" s="271"/>
      <c r="F43" s="271" t="s">
        <v>308</v>
      </c>
      <c r="G43" s="27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48211.246736772759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16070.415578924254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16070.415578924254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80352.077894621267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401760</v>
      </c>
    </row>
  </sheetData>
  <mergeCells count="1">
    <mergeCell ref="A3:C4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9"/>
  <sheetViews>
    <sheetView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735</v>
      </c>
      <c r="H7" s="23"/>
    </row>
    <row r="8" spans="1:8">
      <c r="A8" s="22" t="s">
        <v>736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H39*10%</f>
        <v>5872.2595374380371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1599</v>
      </c>
      <c r="B21" s="46"/>
      <c r="C21" s="47"/>
      <c r="D21" s="100" t="s">
        <v>41</v>
      </c>
      <c r="E21" s="98">
        <f>MATERIALES!E200</f>
        <v>262464.66666666669</v>
      </c>
      <c r="F21" s="122">
        <v>1</v>
      </c>
      <c r="G21" s="96">
        <f>+E21*F21</f>
        <v>262464.66666666669</v>
      </c>
      <c r="H21" s="21"/>
    </row>
    <row r="22" spans="1:8">
      <c r="A22" s="45" t="s">
        <v>1445</v>
      </c>
      <c r="B22" s="46"/>
      <c r="C22" s="47"/>
      <c r="D22" s="100" t="s">
        <v>1175</v>
      </c>
      <c r="E22" s="98">
        <f>+MATERIALES!E4</f>
        <v>50000</v>
      </c>
      <c r="F22" s="122">
        <v>0.2</v>
      </c>
      <c r="G22" s="485">
        <f>+E22*F22</f>
        <v>10000</v>
      </c>
      <c r="H22" s="21"/>
    </row>
    <row r="23" spans="1:8">
      <c r="A23" s="45" t="s">
        <v>1027</v>
      </c>
      <c r="B23" s="46"/>
      <c r="C23" s="47"/>
      <c r="D23" s="30" t="s">
        <v>41</v>
      </c>
      <c r="E23" s="101">
        <f>MATERIALES!E28</f>
        <v>15181</v>
      </c>
      <c r="F23" s="31">
        <v>0.09</v>
      </c>
      <c r="G23" s="506">
        <f>+E23*F23</f>
        <v>1366.29</v>
      </c>
      <c r="H23" s="21"/>
    </row>
    <row r="24" spans="1:8">
      <c r="A24" s="45" t="s">
        <v>1028</v>
      </c>
      <c r="B24" s="88"/>
      <c r="C24" s="89"/>
      <c r="D24" s="90" t="s">
        <v>28</v>
      </c>
      <c r="E24" s="91">
        <f>MATERIALES!E7</f>
        <v>4166.666666666667</v>
      </c>
      <c r="F24" s="92">
        <v>1.4999999999999999E-2</v>
      </c>
      <c r="G24" s="50">
        <f>+E24*F24</f>
        <v>62.5</v>
      </c>
      <c r="H24" s="21"/>
    </row>
    <row r="25" spans="1:8" ht="15" thickBot="1">
      <c r="A25" s="51"/>
      <c r="B25" s="52"/>
      <c r="C25" s="53"/>
      <c r="D25" s="38"/>
      <c r="E25" s="39"/>
      <c r="F25" s="415"/>
      <c r="G25" s="41"/>
      <c r="H25" s="42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273893.45666666667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57" t="s">
        <v>295</v>
      </c>
      <c r="B28" s="259"/>
      <c r="C28" s="55" t="s">
        <v>296</v>
      </c>
      <c r="D28" s="259" t="s">
        <v>297</v>
      </c>
      <c r="E28" s="259" t="s">
        <v>298</v>
      </c>
      <c r="F28" s="25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57" t="s">
        <v>301</v>
      </c>
      <c r="B34" s="259"/>
      <c r="C34" s="259" t="s">
        <v>302</v>
      </c>
      <c r="D34" s="259" t="s">
        <v>303</v>
      </c>
      <c r="E34" s="85" t="s">
        <v>304</v>
      </c>
      <c r="F34" s="64" t="s">
        <v>286</v>
      </c>
      <c r="G34" s="25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0.28000000000000003</v>
      </c>
      <c r="G35" s="67">
        <f>+E35*F35</f>
        <v>33052.846808424831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0.28000000000000003</v>
      </c>
      <c r="G36" s="67">
        <f>+E36*F36</f>
        <v>25669.748565955542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58722.595374380369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338488.31157848507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70"/>
      <c r="C43" s="270"/>
      <c r="D43" s="270"/>
      <c r="E43" s="271"/>
      <c r="F43" s="271" t="s">
        <v>308</v>
      </c>
      <c r="G43" s="27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50773.246736772759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16924.415578924254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16924.415578924254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84622.077894621267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423110</v>
      </c>
    </row>
  </sheetData>
  <mergeCells count="1">
    <mergeCell ref="A3:C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8"/>
  <sheetViews>
    <sheetView topLeftCell="A19" workbookViewId="0">
      <selection activeCell="F15" sqref="F15"/>
    </sheetView>
  </sheetViews>
  <sheetFormatPr baseColWidth="10" defaultRowHeight="14.4"/>
  <cols>
    <col min="3" max="3" width="12" bestFit="1" customWidth="1"/>
    <col min="10" max="10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367</v>
      </c>
      <c r="B7" s="24"/>
      <c r="C7" s="23"/>
      <c r="D7" s="2"/>
      <c r="E7" s="24"/>
      <c r="F7" s="2"/>
      <c r="G7" s="24" t="s">
        <v>359</v>
      </c>
      <c r="H7" s="23"/>
    </row>
    <row r="8" spans="1:8">
      <c r="A8" s="22" t="s">
        <v>361</v>
      </c>
      <c r="B8" s="24"/>
      <c r="C8" s="23"/>
      <c r="D8" s="24"/>
      <c r="E8" s="24"/>
      <c r="F8" s="24"/>
      <c r="G8" s="24" t="s">
        <v>1304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2261.10794367066</v>
      </c>
      <c r="H12" s="34"/>
    </row>
    <row r="13" spans="1:8">
      <c r="A13" s="127"/>
      <c r="B13" s="124"/>
      <c r="C13" s="125"/>
      <c r="D13" s="30"/>
      <c r="E13" s="48"/>
      <c r="F13" s="120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0" ht="15" thickBot="1">
      <c r="A17" s="1194"/>
      <c r="B17" s="1195"/>
      <c r="C17" s="1196"/>
      <c r="D17" s="38"/>
      <c r="E17" s="39"/>
      <c r="F17" s="40"/>
      <c r="G17" s="41"/>
      <c r="H17" s="42"/>
    </row>
    <row r="18" spans="1:10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2261.10794367066</v>
      </c>
      <c r="J18" s="10"/>
    </row>
    <row r="19" spans="1:10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0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10">
      <c r="A21" s="86"/>
      <c r="B21" s="46"/>
      <c r="C21" s="47"/>
      <c r="D21" s="100"/>
      <c r="E21" s="98"/>
      <c r="F21" s="122"/>
      <c r="G21" s="96"/>
      <c r="H21" s="21"/>
    </row>
    <row r="22" spans="1:10">
      <c r="A22" s="86"/>
      <c r="B22" s="46"/>
      <c r="C22" s="47"/>
      <c r="D22" s="30"/>
      <c r="E22" s="101"/>
      <c r="F22" s="32"/>
      <c r="G22" s="31"/>
      <c r="H22" s="21"/>
    </row>
    <row r="23" spans="1:10">
      <c r="A23" s="87"/>
      <c r="B23" s="88"/>
      <c r="C23" s="89"/>
      <c r="D23" s="90"/>
      <c r="E23" s="91"/>
      <c r="F23" s="92"/>
      <c r="G23" s="97"/>
      <c r="H23" s="21"/>
    </row>
    <row r="24" spans="1:10" ht="15" thickBot="1">
      <c r="A24" s="51"/>
      <c r="B24" s="52"/>
      <c r="C24" s="53"/>
      <c r="D24" s="38"/>
      <c r="E24" s="39"/>
      <c r="F24" s="40"/>
      <c r="G24" s="41"/>
      <c r="H24" s="42"/>
    </row>
    <row r="25" spans="1:10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10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10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10">
      <c r="A28" s="45"/>
      <c r="B28" s="46"/>
      <c r="C28" s="57"/>
      <c r="D28" s="58"/>
      <c r="E28" s="58"/>
      <c r="F28" s="59"/>
      <c r="G28" s="31"/>
      <c r="H28" s="34"/>
    </row>
    <row r="29" spans="1:10">
      <c r="A29" s="45"/>
      <c r="B29" s="46"/>
      <c r="C29" s="60"/>
      <c r="D29" s="30"/>
      <c r="E29" s="61"/>
      <c r="F29" s="31"/>
      <c r="G29" s="31"/>
      <c r="H29" s="34"/>
    </row>
    <row r="30" spans="1:10" ht="15" thickBot="1">
      <c r="A30" s="62"/>
      <c r="B30" s="63"/>
      <c r="C30" s="38"/>
      <c r="D30" s="39"/>
      <c r="E30" s="40"/>
      <c r="F30" s="41"/>
      <c r="G30" s="38"/>
      <c r="H30" s="34"/>
    </row>
    <row r="31" spans="1:10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10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1">
      <c r="A33" s="1209" t="s">
        <v>301</v>
      </c>
      <c r="B33" s="1211"/>
      <c r="C33" s="417" t="s">
        <v>302</v>
      </c>
      <c r="D33" s="417" t="s">
        <v>303</v>
      </c>
      <c r="E33" s="426" t="s">
        <v>304</v>
      </c>
      <c r="F33" s="427" t="s">
        <v>286</v>
      </c>
      <c r="G33" s="388" t="s">
        <v>287</v>
      </c>
      <c r="H33" s="29"/>
    </row>
    <row r="34" spans="1:11">
      <c r="A34" s="45" t="s">
        <v>343</v>
      </c>
      <c r="B34" s="47"/>
      <c r="C34" s="65">
        <f>SALARIOS!C48*2</f>
        <v>65377.133333333331</v>
      </c>
      <c r="D34" s="66">
        <f>+SALARIOS!D48</f>
        <v>1.8056142176927319</v>
      </c>
      <c r="E34" s="31">
        <f>(C34*D34)</f>
        <v>118045.88145866009</v>
      </c>
      <c r="F34" s="59">
        <v>0.1915448396615603</v>
      </c>
      <c r="G34" s="67">
        <f>E34*F34</f>
        <v>22611.079436706601</v>
      </c>
      <c r="H34" s="34"/>
      <c r="J34" s="10"/>
    </row>
    <row r="35" spans="1:11">
      <c r="A35" s="87"/>
      <c r="B35" s="88"/>
      <c r="C35" s="428"/>
      <c r="D35" s="429"/>
      <c r="E35" s="31"/>
      <c r="F35" s="31"/>
      <c r="G35" s="67"/>
      <c r="H35" s="34"/>
    </row>
    <row r="36" spans="1:11">
      <c r="A36" s="45"/>
      <c r="B36" s="46"/>
      <c r="C36" s="65"/>
      <c r="D36" s="66"/>
      <c r="E36" s="31"/>
      <c r="F36" s="31"/>
      <c r="G36" s="67"/>
      <c r="H36" s="34"/>
    </row>
    <row r="37" spans="1:11" ht="15" thickBot="1">
      <c r="A37" s="62"/>
      <c r="B37" s="68"/>
      <c r="C37" s="39"/>
      <c r="D37" s="53"/>
      <c r="E37" s="102"/>
      <c r="F37" s="53"/>
      <c r="G37" s="387"/>
      <c r="H37" s="42"/>
    </row>
    <row r="38" spans="1:11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22611.079436706601</v>
      </c>
    </row>
    <row r="39" spans="1:11" ht="15" thickBot="1">
      <c r="A39" s="23"/>
      <c r="B39" s="23"/>
      <c r="C39" s="23"/>
      <c r="D39" s="23"/>
      <c r="E39" s="23"/>
      <c r="F39" s="23"/>
      <c r="G39" s="69"/>
      <c r="H39" s="20"/>
    </row>
    <row r="40" spans="1:11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24872.187380377261</v>
      </c>
      <c r="K40" s="3"/>
    </row>
    <row r="41" spans="1:11" ht="15" thickBot="1">
      <c r="A41" s="25" t="s">
        <v>307</v>
      </c>
      <c r="B41" s="25"/>
      <c r="C41" s="23"/>
      <c r="D41" s="23"/>
      <c r="E41" s="23"/>
      <c r="F41" s="23"/>
      <c r="G41" s="23"/>
      <c r="H41" s="23"/>
      <c r="K41" s="3"/>
    </row>
    <row r="42" spans="1:11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11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3730.828107056589</v>
      </c>
      <c r="H43" s="79"/>
    </row>
    <row r="44" spans="1:11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1243.6093690188632</v>
      </c>
      <c r="H44" s="79"/>
    </row>
    <row r="45" spans="1:11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1243.6093690188632</v>
      </c>
      <c r="H45" s="42"/>
    </row>
    <row r="46" spans="1:11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6218.0468450943154</v>
      </c>
    </row>
    <row r="47" spans="1:11" ht="15" thickBot="1">
      <c r="A47" s="23"/>
      <c r="B47" s="23"/>
      <c r="C47" s="23"/>
      <c r="D47" s="23"/>
      <c r="E47" s="23"/>
      <c r="F47" s="23"/>
      <c r="G47" s="23"/>
      <c r="H47" s="23"/>
    </row>
    <row r="48" spans="1:11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31090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9"/>
  <sheetViews>
    <sheetView topLeftCell="H24" workbookViewId="0">
      <selection activeCell="H44" sqref="H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737</v>
      </c>
      <c r="H7" s="23"/>
    </row>
    <row r="8" spans="1:8">
      <c r="A8" s="22" t="s">
        <v>738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H39*10%</f>
        <v>5872.2595374380371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 ht="15" thickBot="1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1009" t="s">
        <v>1601</v>
      </c>
      <c r="B21" s="1010"/>
      <c r="C21" s="1011"/>
      <c r="D21" s="1012" t="s">
        <v>41</v>
      </c>
      <c r="E21" s="1013">
        <f>MATERIALES!E201</f>
        <v>400388.66666666669</v>
      </c>
      <c r="F21" s="1014">
        <v>1</v>
      </c>
      <c r="G21" s="1015">
        <f>+E21*F21</f>
        <v>400388.66666666669</v>
      </c>
      <c r="H21" s="21"/>
    </row>
    <row r="22" spans="1:8">
      <c r="A22" s="45" t="s">
        <v>1445</v>
      </c>
      <c r="B22" s="46"/>
      <c r="C22" s="47"/>
      <c r="D22" s="100" t="s">
        <v>1175</v>
      </c>
      <c r="E22" s="98">
        <f>+MATERIALES!E4</f>
        <v>50000</v>
      </c>
      <c r="F22" s="122">
        <v>0.2</v>
      </c>
      <c r="G22" s="485">
        <f>+E22*F22</f>
        <v>10000</v>
      </c>
      <c r="H22" s="21"/>
    </row>
    <row r="23" spans="1:8">
      <c r="A23" s="45" t="s">
        <v>1027</v>
      </c>
      <c r="B23" s="46"/>
      <c r="C23" s="47"/>
      <c r="D23" s="30" t="s">
        <v>41</v>
      </c>
      <c r="E23" s="101">
        <f>MATERIALES!E28</f>
        <v>15181</v>
      </c>
      <c r="F23" s="31">
        <v>0.09</v>
      </c>
      <c r="G23" s="1008">
        <f>+E23*F23</f>
        <v>1366.29</v>
      </c>
      <c r="H23" s="21"/>
    </row>
    <row r="24" spans="1:8">
      <c r="A24" s="45" t="s">
        <v>1028</v>
      </c>
      <c r="B24" s="88"/>
      <c r="C24" s="89"/>
      <c r="D24" s="90" t="s">
        <v>28</v>
      </c>
      <c r="E24" s="91">
        <f>MATERIALES!E7</f>
        <v>4166.666666666667</v>
      </c>
      <c r="F24" s="92">
        <v>1.4999999999999999E-2</v>
      </c>
      <c r="G24" s="485">
        <f>+E24*F24</f>
        <v>62.5</v>
      </c>
      <c r="H24" s="21"/>
    </row>
    <row r="25" spans="1:8" ht="15" thickBot="1">
      <c r="A25" s="51"/>
      <c r="B25" s="52"/>
      <c r="C25" s="53"/>
      <c r="D25" s="38"/>
      <c r="E25" s="39"/>
      <c r="F25" s="415"/>
      <c r="G25" s="389"/>
      <c r="H25" s="387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411817.45666666667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57" t="s">
        <v>295</v>
      </c>
      <c r="B28" s="259"/>
      <c r="C28" s="55" t="s">
        <v>296</v>
      </c>
      <c r="D28" s="259" t="s">
        <v>297</v>
      </c>
      <c r="E28" s="259" t="s">
        <v>298</v>
      </c>
      <c r="F28" s="25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57" t="s">
        <v>301</v>
      </c>
      <c r="B34" s="259"/>
      <c r="C34" s="259" t="s">
        <v>302</v>
      </c>
      <c r="D34" s="259" t="s">
        <v>303</v>
      </c>
      <c r="E34" s="85" t="s">
        <v>304</v>
      </c>
      <c r="F34" s="64" t="s">
        <v>286</v>
      </c>
      <c r="G34" s="25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0.28000000000000003</v>
      </c>
      <c r="G35" s="67">
        <f>+E35*F35</f>
        <v>33052.846808424831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0.28000000000000003</v>
      </c>
      <c r="G36" s="67">
        <f>+E36*F36</f>
        <v>25669.748565955542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58722.595374380369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476412.31157848507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70"/>
      <c r="C43" s="270"/>
      <c r="D43" s="270"/>
      <c r="E43" s="271"/>
      <c r="F43" s="271" t="s">
        <v>308</v>
      </c>
      <c r="G43" s="27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71461.846736772757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23820.615578924255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23820.615578924255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119103.07789462127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595515</v>
      </c>
    </row>
  </sheetData>
  <mergeCells count="1">
    <mergeCell ref="A3:C4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9"/>
  <sheetViews>
    <sheetView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739</v>
      </c>
      <c r="H7" s="23"/>
    </row>
    <row r="8" spans="1:8">
      <c r="A8" s="22" t="s">
        <v>740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505">
        <f>H39*10%</f>
        <v>5872.2595374380371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 ht="15" thickBot="1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1009" t="s">
        <v>1600</v>
      </c>
      <c r="B21" s="1010"/>
      <c r="C21" s="1011"/>
      <c r="D21" s="1012" t="s">
        <v>41</v>
      </c>
      <c r="E21" s="1013">
        <f>MATERIALES!E202</f>
        <v>328643</v>
      </c>
      <c r="F21" s="1014">
        <v>1</v>
      </c>
      <c r="G21" s="1015">
        <f>+E21*F21</f>
        <v>328643</v>
      </c>
      <c r="H21" s="21"/>
    </row>
    <row r="22" spans="1:8">
      <c r="A22" s="45" t="s">
        <v>1445</v>
      </c>
      <c r="B22" s="46"/>
      <c r="C22" s="47"/>
      <c r="D22" s="100" t="s">
        <v>1175</v>
      </c>
      <c r="E22" s="98">
        <f>+MATERIALES!E4</f>
        <v>50000</v>
      </c>
      <c r="F22" s="122">
        <v>0.2</v>
      </c>
      <c r="G22" s="485">
        <f>+E22*F22</f>
        <v>10000</v>
      </c>
      <c r="H22" s="21"/>
    </row>
    <row r="23" spans="1:8">
      <c r="A23" s="45" t="s">
        <v>1027</v>
      </c>
      <c r="B23" s="46"/>
      <c r="C23" s="47"/>
      <c r="D23" s="30" t="s">
        <v>41</v>
      </c>
      <c r="E23" s="101">
        <f>MATERIALES!E28</f>
        <v>15181</v>
      </c>
      <c r="F23" s="31">
        <v>0.09</v>
      </c>
      <c r="G23" s="1008">
        <f>+E23*F23</f>
        <v>1366.29</v>
      </c>
      <c r="H23" s="21"/>
    </row>
    <row r="24" spans="1:8">
      <c r="A24" s="45" t="s">
        <v>1028</v>
      </c>
      <c r="B24" s="88"/>
      <c r="C24" s="89"/>
      <c r="D24" s="90" t="s">
        <v>28</v>
      </c>
      <c r="E24" s="91">
        <f>MATERIALES!E7</f>
        <v>4166.666666666667</v>
      </c>
      <c r="F24" s="92">
        <v>1.4999999999999999E-2</v>
      </c>
      <c r="G24" s="485">
        <f>+E24*F24</f>
        <v>62.5</v>
      </c>
      <c r="H24" s="21"/>
    </row>
    <row r="25" spans="1:8" ht="15" thickBot="1">
      <c r="A25" s="51"/>
      <c r="B25" s="52"/>
      <c r="C25" s="53"/>
      <c r="D25" s="38"/>
      <c r="E25" s="39"/>
      <c r="F25" s="415"/>
      <c r="G25" s="389"/>
      <c r="H25" s="387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340071.79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57" t="s">
        <v>295</v>
      </c>
      <c r="B28" s="259"/>
      <c r="C28" s="55" t="s">
        <v>296</v>
      </c>
      <c r="D28" s="259" t="s">
        <v>297</v>
      </c>
      <c r="E28" s="259" t="s">
        <v>298</v>
      </c>
      <c r="F28" s="25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57" t="s">
        <v>301</v>
      </c>
      <c r="B34" s="259"/>
      <c r="C34" s="259" t="s">
        <v>302</v>
      </c>
      <c r="D34" s="259" t="s">
        <v>303</v>
      </c>
      <c r="E34" s="85" t="s">
        <v>304</v>
      </c>
      <c r="F34" s="64" t="s">
        <v>286</v>
      </c>
      <c r="G34" s="25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0.28000000000000003</v>
      </c>
      <c r="G35" s="67">
        <f>+E35*F35</f>
        <v>33052.846808424831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0.28000000000000003</v>
      </c>
      <c r="G36" s="67">
        <f>+E36*F36</f>
        <v>25669.748565955542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58722.595374380369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404666.64491181838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70"/>
      <c r="C43" s="270"/>
      <c r="D43" s="270"/>
      <c r="E43" s="271"/>
      <c r="F43" s="271" t="s">
        <v>308</v>
      </c>
      <c r="G43" s="27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60699.996736772751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20233.332245590922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20233.332245590922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101166.6612279546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505833</v>
      </c>
    </row>
  </sheetData>
  <mergeCells count="1">
    <mergeCell ref="A3:C4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L42" sqref="L4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742</v>
      </c>
      <c r="H7" s="23"/>
    </row>
    <row r="8" spans="1:8">
      <c r="A8" s="22" t="s">
        <v>743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3878.736999999996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3878.736999999996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741</v>
      </c>
      <c r="B21" s="46"/>
      <c r="C21" s="47"/>
      <c r="D21" s="100" t="s">
        <v>41</v>
      </c>
      <c r="E21" s="98">
        <f>MATERIALES!E208</f>
        <v>102776</v>
      </c>
      <c r="F21" s="122">
        <v>1</v>
      </c>
      <c r="G21" s="96">
        <f>+E21*F21</f>
        <v>102776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102776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2">
        <v>0.18494503772794135</v>
      </c>
      <c r="G34" s="67">
        <f>+E34*F34</f>
        <v>21831.999999999982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2">
        <v>0.18494546558575808</v>
      </c>
      <c r="G35" s="67">
        <f>+E35*F35</f>
        <v>16955.369999999977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38787.369999999959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145442.10699999996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21816.316049999994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7272.105349999998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7272.105349999998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36360.52674999999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181803</v>
      </c>
    </row>
  </sheetData>
  <mergeCells count="1">
    <mergeCell ref="A3:C4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M46" sqref="M4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746</v>
      </c>
      <c r="H7" s="23"/>
    </row>
    <row r="8" spans="1:8">
      <c r="A8" s="22" t="s">
        <v>744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4854.7130000000025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4854.7130000000025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745</v>
      </c>
      <c r="B21" s="46"/>
      <c r="C21" s="47"/>
      <c r="D21" s="100" t="s">
        <v>41</v>
      </c>
      <c r="E21" s="98">
        <f>MATERIALES!E209</f>
        <v>154960.5</v>
      </c>
      <c r="F21" s="122">
        <v>1</v>
      </c>
      <c r="G21" s="96">
        <f>+E21*F21</f>
        <v>154960.5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154960.5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0.23148151940878536</v>
      </c>
      <c r="G34" s="67">
        <f>+E34*F34</f>
        <v>27325.440000000002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0.23148155053924713</v>
      </c>
      <c r="G35" s="67">
        <f>+E35*F35</f>
        <v>21221.690000000013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48547.130000000019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208362.34299999999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31254.351449999998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10418.11715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10418.11715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52090.585749999998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260453</v>
      </c>
    </row>
  </sheetData>
  <mergeCells count="1">
    <mergeCell ref="A3:C4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K40" sqref="K4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747</v>
      </c>
      <c r="H7" s="23"/>
    </row>
    <row r="8" spans="1:8">
      <c r="A8" s="22" t="s">
        <v>748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5729.5000000000027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5729.5000000000027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749</v>
      </c>
      <c r="B21" s="46"/>
      <c r="C21" s="47"/>
      <c r="D21" s="100" t="s">
        <v>41</v>
      </c>
      <c r="E21" s="98">
        <f>MATERIALES!E210</f>
        <v>211014.5</v>
      </c>
      <c r="F21" s="122">
        <v>1</v>
      </c>
      <c r="G21" s="96">
        <f>+E21*F21</f>
        <v>211014.5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211014.5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2">
        <v>0.23684133788133754</v>
      </c>
      <c r="G34" s="67">
        <f>+E34*F34</f>
        <v>27958.144496050834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2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57295.000000000022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274039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41105.85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13701.95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13701.95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68509.75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342549</v>
      </c>
    </row>
  </sheetData>
  <mergeCells count="1">
    <mergeCell ref="A3:C4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750</v>
      </c>
      <c r="H7" s="23"/>
    </row>
    <row r="8" spans="1:8">
      <c r="A8" s="22" t="s">
        <v>751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6302.4500000000007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6302.4500000000007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752</v>
      </c>
      <c r="B21" s="46"/>
      <c r="C21" s="47"/>
      <c r="D21" s="100" t="s">
        <v>41</v>
      </c>
      <c r="E21" s="98">
        <f>MATERIALES!E211</f>
        <v>237206.5</v>
      </c>
      <c r="F21" s="122">
        <v>1</v>
      </c>
      <c r="G21" s="96">
        <f>+E21*F21</f>
        <v>237206.5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237206.5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0.28537755048953817</v>
      </c>
      <c r="G34" s="67">
        <f>+E34*F34</f>
        <v>33687.644496050809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63024.5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306533.45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45980.017500000002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15326.672500000001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15326.672500000001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76633.362500000003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383167</v>
      </c>
    </row>
  </sheetData>
  <mergeCells count="1">
    <mergeCell ref="A3:C4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N44" sqref="N4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753</v>
      </c>
      <c r="H7" s="23"/>
    </row>
    <row r="8" spans="1:8">
      <c r="A8" s="22" t="s">
        <v>754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6750.0950145042443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594"/>
      <c r="D14" s="30"/>
      <c r="E14" s="48"/>
      <c r="F14" s="31"/>
      <c r="G14" s="78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6750.0950145042443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755</v>
      </c>
      <c r="B21" s="46"/>
      <c r="C21" s="47"/>
      <c r="D21" s="100" t="s">
        <v>41</v>
      </c>
      <c r="E21" s="98">
        <f>MATERIALES!E212</f>
        <v>295428.5</v>
      </c>
      <c r="F21" s="122">
        <v>1</v>
      </c>
      <c r="G21" s="96">
        <f>+E21*F21</f>
        <v>295428.5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295428.5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</v>
      </c>
      <c r="G34" s="67">
        <f>+E34*F34</f>
        <v>35413.764437598024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0.35</v>
      </c>
      <c r="G35" s="67">
        <f>+E35*F35</f>
        <v>32087.185707444423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67500.950145042443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369679.54515954672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55451.931773932003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18483.977257977338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18483.977257977338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92419.886289886679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462099</v>
      </c>
    </row>
  </sheetData>
  <mergeCells count="1">
    <mergeCell ref="A3:C4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O47" sqref="O4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756</v>
      </c>
      <c r="H7" s="23"/>
    </row>
    <row r="8" spans="1:8">
      <c r="A8" s="22" t="s">
        <v>757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3</v>
      </c>
      <c r="B12" s="135"/>
      <c r="C12" s="133"/>
      <c r="D12" s="133"/>
      <c r="E12" s="132"/>
      <c r="F12" s="31"/>
      <c r="G12" s="132">
        <f>H38*10%</f>
        <v>7077.864450871406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7077.864450871406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758</v>
      </c>
      <c r="B21" s="46"/>
      <c r="C21" s="47"/>
      <c r="D21" s="100" t="s">
        <v>41</v>
      </c>
      <c r="E21" s="98">
        <f>MATERIALES!E213</f>
        <v>348144</v>
      </c>
      <c r="F21" s="122">
        <v>1</v>
      </c>
      <c r="G21" s="96">
        <f>+E21*F21</f>
        <v>348144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348144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0.32</v>
      </c>
      <c r="G34" s="67">
        <f>+E34*F34</f>
        <v>37774.682066771231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0.36</v>
      </c>
      <c r="G35" s="67">
        <f>+E35*F35</f>
        <v>33003.962441942836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70778.64450871406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426000.50895958545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63900.076343937813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21300.025447979275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21300.025447979275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106500.12723989636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532501</v>
      </c>
    </row>
  </sheetData>
  <mergeCells count="1">
    <mergeCell ref="A3:C4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759</v>
      </c>
      <c r="H7" s="23"/>
    </row>
    <row r="8" spans="1:8">
      <c r="A8" s="22" t="s">
        <v>760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7313.956213788726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7313.956213788726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761</v>
      </c>
      <c r="B21" s="46"/>
      <c r="C21" s="47"/>
      <c r="D21" s="100" t="s">
        <v>41</v>
      </c>
      <c r="E21" s="98">
        <f>MATERIALES!E214</f>
        <v>434983.5</v>
      </c>
      <c r="F21" s="122">
        <v>1</v>
      </c>
      <c r="G21" s="96">
        <f>+E21*F21</f>
        <v>434983.5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434983.5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0.34</v>
      </c>
      <c r="G34" s="67">
        <f>+E34*F34</f>
        <v>40135.599695944431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0.36</v>
      </c>
      <c r="G35" s="67">
        <f>+E35*F35</f>
        <v>33003.962441942836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73139.56213788726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515437.01835167594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77315.552752751391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25771.850917583797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25771.850917583797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128859.25458791899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644296</v>
      </c>
    </row>
  </sheetData>
  <mergeCells count="1">
    <mergeCell ref="A3:C4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F35" sqref="F3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762</v>
      </c>
      <c r="H7" s="23"/>
    </row>
    <row r="8" spans="1:8">
      <c r="A8" s="22" t="s">
        <v>763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7550.047976706046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7550.047976706046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764</v>
      </c>
      <c r="B21" s="46"/>
      <c r="C21" s="47"/>
      <c r="D21" s="100" t="s">
        <v>41</v>
      </c>
      <c r="E21" s="98">
        <f>MATERIALES!E215</f>
        <v>620052</v>
      </c>
      <c r="F21" s="122">
        <v>1</v>
      </c>
      <c r="G21" s="96">
        <f>+E21*F21</f>
        <v>620052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620052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0.36</v>
      </c>
      <c r="G34" s="67">
        <f>+E34*F34</f>
        <v>42496.517325117631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0.36</v>
      </c>
      <c r="G35" s="67">
        <f>+E35*F35</f>
        <v>33003.962441942836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75500.47976706046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703102.52774376655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105465.37916156498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35155.126387188327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35155.126387188327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175775.63193594164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878878</v>
      </c>
    </row>
  </sheetData>
  <mergeCells count="1">
    <mergeCell ref="A3:C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topLeftCell="A4" workbookViewId="0">
      <selection activeCell="D15" sqref="D1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367</v>
      </c>
      <c r="B7" s="24"/>
      <c r="C7" s="23"/>
      <c r="D7" s="2"/>
      <c r="E7" s="24"/>
      <c r="F7" s="2"/>
      <c r="G7" s="24" t="s">
        <v>360</v>
      </c>
      <c r="H7" s="23"/>
    </row>
    <row r="8" spans="1:8">
      <c r="A8" s="22" t="s">
        <v>362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H38*7%</f>
        <v>1924.9959196699313</v>
      </c>
      <c r="H12" s="34"/>
    </row>
    <row r="13" spans="1:8">
      <c r="A13" s="127"/>
      <c r="B13" s="124"/>
      <c r="C13" s="125"/>
      <c r="D13" s="30"/>
      <c r="E13" s="48"/>
      <c r="F13" s="120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1924.9959196699313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7" t="s">
        <v>302</v>
      </c>
      <c r="D33" s="117" t="s">
        <v>303</v>
      </c>
      <c r="E33" s="85" t="s">
        <v>304</v>
      </c>
      <c r="F33" s="64" t="s">
        <v>286</v>
      </c>
      <c r="G33" s="11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31">
        <v>0.23295977267280588</v>
      </c>
      <c r="G34" s="67">
        <f>E34*F34</f>
        <v>27499.941709570445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27499.941709570445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29424.937629240376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4413.7406443860564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1471.2468814620188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1471.2468814620188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7356.234407310094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36781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R42" sqref="R4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765</v>
      </c>
      <c r="H7" s="23"/>
    </row>
    <row r="8" spans="1:8">
      <c r="A8" s="22" t="s">
        <v>766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1165.1300565933695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1165.1300565933695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767</v>
      </c>
      <c r="B21" s="46"/>
      <c r="C21" s="47"/>
      <c r="D21" s="100" t="s">
        <v>41</v>
      </c>
      <c r="E21" s="98">
        <f>MATERIALES!E218</f>
        <v>90750.26</v>
      </c>
      <c r="F21" s="122">
        <v>1</v>
      </c>
      <c r="G21" s="96">
        <f>+E21*F21</f>
        <v>90750.26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90750.26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5.5555517218926376E-2</v>
      </c>
      <c r="G34" s="67">
        <f>+E34*F34</f>
        <v>6558.0999999999322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5.5555517218926376E-2</v>
      </c>
      <c r="G35" s="67">
        <f>+E35*F35</f>
        <v>5093.2005659337628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11651.300565933696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103566.69062252705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15535.003593379057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5178.3345311263529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5178.3345311263529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25891.672655631766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129458</v>
      </c>
    </row>
  </sheetData>
  <mergeCells count="1">
    <mergeCell ref="A3:C4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O47" sqref="O4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771</v>
      </c>
      <c r="H7" s="23"/>
    </row>
    <row r="8" spans="1:8">
      <c r="A8" s="22" t="s">
        <v>772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1398.1570000000002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1398.1570000000002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768</v>
      </c>
      <c r="B21" s="46"/>
      <c r="C21" s="47"/>
      <c r="D21" s="100" t="s">
        <v>41</v>
      </c>
      <c r="E21" s="98">
        <f>MATERIALES!E219</f>
        <v>120119.86</v>
      </c>
      <c r="F21" s="122">
        <v>1</v>
      </c>
      <c r="G21" s="96">
        <f>+E21*F21</f>
        <v>120119.86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120119.86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6.5000000000000002E-2</v>
      </c>
      <c r="G34" s="67">
        <f>+E34*F34</f>
        <v>7672.9822948129067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6.8812694168538815E-2</v>
      </c>
      <c r="G35" s="67">
        <f>+E35*F35</f>
        <v>6308.5877051870939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13981.57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135499.587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20324.938050000001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6774.9793500000005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6774.9793500000005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33874.89675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169374</v>
      </c>
    </row>
  </sheetData>
  <mergeCells count="1">
    <mergeCell ref="A3:C4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>
      <selection activeCell="P39" sqref="P3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773</v>
      </c>
      <c r="H7" s="23"/>
    </row>
    <row r="8" spans="1:8">
      <c r="A8" s="22" t="s">
        <v>774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1588.8150000000003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1588.8150000000003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769</v>
      </c>
      <c r="B21" s="46"/>
      <c r="C21" s="47"/>
      <c r="D21" s="100" t="s">
        <v>41</v>
      </c>
      <c r="E21" s="98">
        <f>MATERIALES!E220</f>
        <v>175450.45</v>
      </c>
      <c r="F21" s="122">
        <v>1</v>
      </c>
      <c r="G21" s="96">
        <f>+E21*F21</f>
        <v>175450.45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175450.45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6.9000000000000006E-2</v>
      </c>
      <c r="G34" s="67">
        <f>+E34*F34</f>
        <v>8145.1658206475468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8.4458777017163339E-2</v>
      </c>
      <c r="G35" s="67">
        <f>+E35*F35</f>
        <v>7742.9841793524547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15888.150000000001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192927.41500000001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28939.112250000002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9646.37075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9646.37075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48231.853750000002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241159</v>
      </c>
    </row>
  </sheetData>
  <mergeCells count="1">
    <mergeCell ref="A3:C4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719</v>
      </c>
      <c r="B7" s="24"/>
      <c r="C7" s="23"/>
      <c r="D7" s="2"/>
      <c r="E7" s="24"/>
      <c r="F7" s="2"/>
      <c r="G7" s="24" t="s">
        <v>775</v>
      </c>
      <c r="H7" s="23"/>
    </row>
    <row r="8" spans="1:8">
      <c r="A8" s="22" t="s">
        <v>776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1906.5461033319943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1906.5461033319943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770</v>
      </c>
      <c r="B21" s="46"/>
      <c r="C21" s="47"/>
      <c r="D21" s="100" t="s">
        <v>41</v>
      </c>
      <c r="E21" s="98">
        <f>MATERIALES!E221</f>
        <v>210979.67</v>
      </c>
      <c r="F21" s="122">
        <v>1</v>
      </c>
      <c r="G21" s="96">
        <f>+E21*F21</f>
        <v>210979.67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210979.67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8.5000000000000006E-2</v>
      </c>
      <c r="G34" s="67">
        <f>+E34*F34</f>
        <v>10033.899923986108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9.8514292187783223E-2</v>
      </c>
      <c r="G35" s="67">
        <f>+E35*F35</f>
        <v>9031.5611093338339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19065.461033319942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231951.67713665194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34792.751570497792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11597.583856832598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11597.583856832598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57987.919284162992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289940</v>
      </c>
    </row>
  </sheetData>
  <mergeCells count="1">
    <mergeCell ref="A3:C4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H51"/>
  <sheetViews>
    <sheetView topLeftCell="B1" workbookViewId="0">
      <selection activeCell="E19" sqref="E19"/>
    </sheetView>
  </sheetViews>
  <sheetFormatPr baseColWidth="10" defaultRowHeight="14.4"/>
  <cols>
    <col min="1" max="1" width="30.6640625" bestFit="1" customWidth="1"/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777</v>
      </c>
      <c r="H7" s="23"/>
    </row>
    <row r="8" spans="1:8">
      <c r="A8" s="1235" t="s">
        <v>1365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527" t="s">
        <v>283</v>
      </c>
      <c r="B11" s="528"/>
      <c r="C11" s="529"/>
      <c r="D11" s="529" t="s">
        <v>284</v>
      </c>
      <c r="E11" s="27" t="s">
        <v>285</v>
      </c>
      <c r="F11" s="529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123948.17553159311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530"/>
      <c r="B14" s="531"/>
      <c r="C14" s="532"/>
      <c r="D14" s="35"/>
      <c r="E14" s="36"/>
      <c r="F14" s="31"/>
      <c r="G14" s="67"/>
      <c r="H14" s="21"/>
    </row>
    <row r="15" spans="1:8" ht="15" thickBot="1">
      <c r="A15" s="533"/>
      <c r="B15" s="534"/>
      <c r="C15" s="535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123948.17553159311</v>
      </c>
    </row>
    <row r="17" spans="1:8" ht="15" thickBot="1">
      <c r="A17" s="25" t="s">
        <v>1487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1367</v>
      </c>
      <c r="B19" s="46"/>
      <c r="C19" s="47"/>
      <c r="D19" s="30" t="s">
        <v>1175</v>
      </c>
      <c r="E19" s="924">
        <f>+MATERIALES!E40</f>
        <v>2999.9999999999995</v>
      </c>
      <c r="F19" s="30">
        <v>222</v>
      </c>
      <c r="G19" s="485">
        <f>+E19*F19</f>
        <v>665999.99999999988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30">
        <v>78.807154636785825</v>
      </c>
      <c r="G20" s="67">
        <f>+E20*F20</f>
        <v>127904.01197550341</v>
      </c>
      <c r="H20" s="21"/>
    </row>
    <row r="21" spans="1:8">
      <c r="A21" s="45" t="s">
        <v>1369</v>
      </c>
      <c r="B21" s="46"/>
      <c r="C21" s="47"/>
      <c r="D21" s="35" t="s">
        <v>1373</v>
      </c>
      <c r="E21" s="1028">
        <f>+MATERIALES!E58</f>
        <v>33840.000000000007</v>
      </c>
      <c r="F21" s="35">
        <v>2</v>
      </c>
      <c r="G21" s="67">
        <f>+E21*F21</f>
        <v>67680.000000000015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2</v>
      </c>
      <c r="G22" s="389">
        <f>+E22*F22</f>
        <v>73600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935184.01197550329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257" t="s">
        <v>295</v>
      </c>
      <c r="B25" s="259"/>
      <c r="C25" s="55" t="s">
        <v>296</v>
      </c>
      <c r="D25" s="259" t="s">
        <v>297</v>
      </c>
      <c r="E25" s="259" t="s">
        <v>298</v>
      </c>
      <c r="F25" s="259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4</v>
      </c>
      <c r="D26" s="58"/>
      <c r="E26" s="58"/>
      <c r="F26" s="59">
        <f>+MATERIALES!E60</f>
        <v>22000</v>
      </c>
      <c r="G26" s="59">
        <f>+C26*F26</f>
        <v>88000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88000</v>
      </c>
    </row>
    <row r="32" spans="1:8" ht="15" thickBot="1">
      <c r="A32" s="13" t="s">
        <v>300</v>
      </c>
      <c r="B32" s="13"/>
      <c r="C32" s="23"/>
      <c r="D32" s="23"/>
      <c r="E32" s="23"/>
      <c r="F32" s="23"/>
      <c r="G32" s="23"/>
      <c r="H32" s="23"/>
    </row>
    <row r="33" spans="1:8">
      <c r="A33" s="1016" t="s">
        <v>1488</v>
      </c>
      <c r="B33" s="64"/>
      <c r="C33" s="1017" t="s">
        <v>302</v>
      </c>
      <c r="D33" s="1017" t="s">
        <v>303</v>
      </c>
      <c r="E33" s="85" t="s">
        <v>304</v>
      </c>
      <c r="F33" s="64" t="s">
        <v>1495</v>
      </c>
      <c r="G33" s="56" t="s">
        <v>287</v>
      </c>
      <c r="H33" s="29"/>
    </row>
    <row r="34" spans="1:8">
      <c r="A34" s="1018" t="s">
        <v>1489</v>
      </c>
      <c r="B34" s="952"/>
      <c r="C34" s="1019">
        <f>+SALARIOS!C48</f>
        <v>32688.566666666666</v>
      </c>
      <c r="D34" s="1020">
        <f>+SALARIOS!D48</f>
        <v>1.8056142176927319</v>
      </c>
      <c r="E34" s="951">
        <f>+C34*D34</f>
        <v>59022.940729330046</v>
      </c>
      <c r="F34" s="952">
        <v>5</v>
      </c>
      <c r="G34" s="1021">
        <f>+E34*F34</f>
        <v>295114.70364665025</v>
      </c>
      <c r="H34" s="34"/>
    </row>
    <row r="35" spans="1:8">
      <c r="A35" s="1018" t="s">
        <v>1490</v>
      </c>
      <c r="B35" s="952"/>
      <c r="C35" s="1019">
        <f>+SALARIOS!C48</f>
        <v>32688.566666666666</v>
      </c>
      <c r="D35" s="1020">
        <f>+SALARIOS!D48</f>
        <v>1.8056142176927319</v>
      </c>
      <c r="E35" s="951">
        <f>+C35*D35</f>
        <v>59022.940729330046</v>
      </c>
      <c r="F35" s="952">
        <v>3</v>
      </c>
      <c r="G35" s="1021">
        <f>+E35*F35</f>
        <v>177068.82218799012</v>
      </c>
      <c r="H35" s="34"/>
    </row>
    <row r="36" spans="1:8">
      <c r="A36" s="1018" t="s">
        <v>1491</v>
      </c>
      <c r="B36" s="952"/>
      <c r="C36" s="1019">
        <f>+SALARIOS!C48</f>
        <v>32688.566666666666</v>
      </c>
      <c r="D36" s="1020">
        <f>+SALARIOS!D48</f>
        <v>1.8056142176927319</v>
      </c>
      <c r="E36" s="951">
        <f>+C36*D36</f>
        <v>59022.940729330046</v>
      </c>
      <c r="F36" s="952">
        <v>3</v>
      </c>
      <c r="G36" s="1021">
        <f>+E36*F36</f>
        <v>177068.82218799012</v>
      </c>
      <c r="H36" s="34"/>
    </row>
    <row r="37" spans="1:8">
      <c r="A37" s="1018" t="s">
        <v>1492</v>
      </c>
      <c r="B37" s="952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952">
        <v>1</v>
      </c>
      <c r="G37" s="1021">
        <f t="shared" ref="G37:G40" si="1">+E37*F37</f>
        <v>59022.940729330046</v>
      </c>
      <c r="H37" s="34"/>
    </row>
    <row r="38" spans="1:8">
      <c r="A38" s="1018" t="s">
        <v>1493</v>
      </c>
      <c r="B38" s="952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952">
        <v>2</v>
      </c>
      <c r="G38" s="1021">
        <f t="shared" si="1"/>
        <v>118045.88145866009</v>
      </c>
      <c r="H38" s="34"/>
    </row>
    <row r="39" spans="1:8">
      <c r="A39" s="1018" t="s">
        <v>1494</v>
      </c>
      <c r="B39" s="952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952">
        <v>2</v>
      </c>
      <c r="G39" s="1021">
        <f t="shared" si="1"/>
        <v>118045.88145866009</v>
      </c>
      <c r="H39" s="34"/>
    </row>
    <row r="40" spans="1:8" ht="15" thickBot="1">
      <c r="A40" s="1022" t="s">
        <v>1496</v>
      </c>
      <c r="B40" s="1023"/>
      <c r="C40" s="1024">
        <f>+SALARIOS!$C$48</f>
        <v>32688.566666666666</v>
      </c>
      <c r="D40" s="1025">
        <f>+SALARIOS!$D$48</f>
        <v>1.8056142176927319</v>
      </c>
      <c r="E40" s="1026">
        <f t="shared" si="0"/>
        <v>59022.940729330046</v>
      </c>
      <c r="F40" s="1023">
        <v>5</v>
      </c>
      <c r="G40" s="1027">
        <f t="shared" si="1"/>
        <v>295114.70364665025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1239481.755315931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2386613.9428230273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270"/>
      <c r="C45" s="270"/>
      <c r="D45" s="270"/>
      <c r="E45" s="271"/>
      <c r="F45" s="271" t="s">
        <v>308</v>
      </c>
      <c r="G45" s="270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357992.09142345405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119330.69714115137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119330.69714115137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596653.48570575682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2983267</v>
      </c>
    </row>
  </sheetData>
  <mergeCells count="2">
    <mergeCell ref="A3:C4"/>
    <mergeCell ref="A8:E8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H51"/>
  <sheetViews>
    <sheetView workbookViewId="0">
      <selection activeCell="F20" sqref="F20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778</v>
      </c>
      <c r="H7" s="23"/>
    </row>
    <row r="8" spans="1:8">
      <c r="A8" s="1235" t="s">
        <v>1391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100338.99923986109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100338.99923986109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1390</v>
      </c>
      <c r="B19" s="46"/>
      <c r="C19" s="47"/>
      <c r="D19" s="30" t="s">
        <v>1175</v>
      </c>
      <c r="E19" s="924">
        <f>+MATERIALES!E40</f>
        <v>2999.9999999999995</v>
      </c>
      <c r="F19" s="30">
        <v>1111</v>
      </c>
      <c r="G19" s="485">
        <f>+E19*F19</f>
        <v>3332999.9999999995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30">
        <v>43.803741598207615</v>
      </c>
      <c r="G20" s="67">
        <f>+E20*F20</f>
        <v>71093.472613890975</v>
      </c>
      <c r="H20" s="21"/>
    </row>
    <row r="21" spans="1:8">
      <c r="A21" s="45" t="s">
        <v>1369</v>
      </c>
      <c r="B21" s="46"/>
      <c r="C21" s="47"/>
      <c r="D21" s="35" t="s">
        <v>1373</v>
      </c>
      <c r="E21" s="925">
        <f>+MATERIALES!E58</f>
        <v>33840.000000000007</v>
      </c>
      <c r="F21" s="35">
        <v>1</v>
      </c>
      <c r="G21" s="67">
        <f>+E21*F21</f>
        <v>33840.000000000007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1</v>
      </c>
      <c r="G22" s="389">
        <f>+E22*F22</f>
        <v>36800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3474733.4726138907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4</v>
      </c>
      <c r="D26" s="58"/>
      <c r="E26" s="58"/>
      <c r="F26" s="59">
        <f>+MATERIALES!E60</f>
        <v>22000</v>
      </c>
      <c r="G26" s="59">
        <f>+C26*F26</f>
        <v>88000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88000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+SALARIOS!C48</f>
        <v>32688.566666666666</v>
      </c>
      <c r="D34" s="1020">
        <f>+SALARIOS!D48</f>
        <v>1.8056142176927319</v>
      </c>
      <c r="E34" s="951">
        <f>+C34*D34</f>
        <v>59022.940729330046</v>
      </c>
      <c r="F34" s="1030">
        <v>5</v>
      </c>
      <c r="G34" s="1021">
        <f>+E34*F34</f>
        <v>295114.70364665025</v>
      </c>
      <c r="H34" s="34"/>
    </row>
    <row r="35" spans="1:8">
      <c r="A35" s="1242" t="s">
        <v>1490</v>
      </c>
      <c r="B35" s="1242"/>
      <c r="C35" s="1019">
        <f>+SALARIOS!C48</f>
        <v>32688.566666666666</v>
      </c>
      <c r="D35" s="1020">
        <f>+SALARIOS!D48</f>
        <v>1.8056142176927319</v>
      </c>
      <c r="E35" s="951">
        <f>+C35*D35</f>
        <v>59022.940729330046</v>
      </c>
      <c r="F35" s="1030">
        <v>2</v>
      </c>
      <c r="G35" s="1021">
        <f>+E35*F35</f>
        <v>118045.88145866009</v>
      </c>
      <c r="H35" s="34"/>
    </row>
    <row r="36" spans="1:8" ht="21" customHeight="1">
      <c r="A36" s="1242" t="s">
        <v>1491</v>
      </c>
      <c r="B36" s="1242"/>
      <c r="C36" s="1019">
        <f>+SALARIOS!C48</f>
        <v>32688.566666666666</v>
      </c>
      <c r="D36" s="1020">
        <f>+SALARIOS!D48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1030">
        <v>1</v>
      </c>
      <c r="G37" s="1021">
        <f t="shared" ref="G37:G40" si="1">+E37*F37</f>
        <v>59022.940729330046</v>
      </c>
      <c r="H37" s="34"/>
    </row>
    <row r="38" spans="1:8">
      <c r="A38" s="1029" t="s">
        <v>1493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1030">
        <v>2</v>
      </c>
      <c r="G38" s="1021">
        <f t="shared" si="1"/>
        <v>118045.88145866009</v>
      </c>
      <c r="H38" s="34"/>
    </row>
    <row r="39" spans="1:8">
      <c r="A39" s="1029" t="s">
        <v>1494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1030">
        <v>2</v>
      </c>
      <c r="G39" s="1021">
        <f t="shared" si="1"/>
        <v>118045.88145866009</v>
      </c>
      <c r="H39" s="34"/>
    </row>
    <row r="40" spans="1:8" ht="15" thickBot="1">
      <c r="A40" s="1242" t="s">
        <v>1496</v>
      </c>
      <c r="B40" s="1242"/>
      <c r="C40" s="1024">
        <f>+SALARIOS!$C$48</f>
        <v>32688.566666666666</v>
      </c>
      <c r="D40" s="1025">
        <f>+SALARIOS!$D$48</f>
        <v>1.8056142176927319</v>
      </c>
      <c r="E40" s="1026">
        <f t="shared" si="0"/>
        <v>59022.940729330046</v>
      </c>
      <c r="F40" s="1031">
        <v>3</v>
      </c>
      <c r="G40" s="1027">
        <f t="shared" si="1"/>
        <v>177068.82218799012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1003389.9923986108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4666462.464252362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943"/>
      <c r="C45" s="943"/>
      <c r="D45" s="943"/>
      <c r="E45" s="944"/>
      <c r="F45" s="944" t="s">
        <v>308</v>
      </c>
      <c r="G45" s="943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699969.36963785428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233323.12321261811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233323.12321261811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1166615.6160630905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5833078</v>
      </c>
    </row>
  </sheetData>
  <mergeCells count="6">
    <mergeCell ref="A40:B40"/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H53"/>
  <sheetViews>
    <sheetView zoomScaleNormal="100" workbookViewId="0">
      <selection activeCell="A36" sqref="A36:G42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779</v>
      </c>
      <c r="H7" s="23"/>
    </row>
    <row r="8" spans="1:8">
      <c r="A8" s="1235" t="s">
        <v>1393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H43*10%</f>
        <v>64925.234802263061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64925.234802263061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1390</v>
      </c>
      <c r="B19" s="46"/>
      <c r="C19" s="47"/>
      <c r="D19" s="30" t="s">
        <v>1175</v>
      </c>
      <c r="E19" s="924">
        <f>+MATERIALES!E40</f>
        <v>2999.9999999999995</v>
      </c>
      <c r="F19" s="30">
        <v>200</v>
      </c>
      <c r="G19" s="485">
        <f t="shared" ref="G19:G24" si="0">+E19*F19</f>
        <v>599999.99999999988</v>
      </c>
      <c r="H19" s="21"/>
    </row>
    <row r="20" spans="1:8">
      <c r="A20" s="45" t="s">
        <v>1394</v>
      </c>
      <c r="B20" s="46"/>
      <c r="C20" s="47"/>
      <c r="D20" s="30" t="s">
        <v>1175</v>
      </c>
      <c r="E20" s="924">
        <f>+MATERIALES!E61</f>
        <v>8000</v>
      </c>
      <c r="F20" s="30">
        <v>400</v>
      </c>
      <c r="G20" s="485">
        <f t="shared" si="0"/>
        <v>3200000</v>
      </c>
      <c r="H20" s="21"/>
    </row>
    <row r="21" spans="1:8">
      <c r="A21" s="45" t="s">
        <v>1368</v>
      </c>
      <c r="B21" s="46"/>
      <c r="C21" s="47"/>
      <c r="D21" s="30" t="s">
        <v>1235</v>
      </c>
      <c r="E21" s="924">
        <f>+MATERIALES!E57</f>
        <v>1623.0000000000002</v>
      </c>
      <c r="F21" s="30">
        <v>39.777165742452247</v>
      </c>
      <c r="G21" s="67">
        <f t="shared" si="0"/>
        <v>64558.340000000004</v>
      </c>
      <c r="H21" s="21"/>
    </row>
    <row r="22" spans="1:8">
      <c r="A22" s="45" t="s">
        <v>1395</v>
      </c>
      <c r="B22" s="46"/>
      <c r="C22" s="47"/>
      <c r="D22" s="35" t="s">
        <v>1235</v>
      </c>
      <c r="E22" s="953">
        <f>+MATERIALES!E62</f>
        <v>843.5</v>
      </c>
      <c r="F22" s="35">
        <v>45</v>
      </c>
      <c r="G22" s="67">
        <f t="shared" si="0"/>
        <v>37957.5</v>
      </c>
      <c r="H22" s="21"/>
    </row>
    <row r="23" spans="1:8">
      <c r="A23" s="45" t="s">
        <v>1369</v>
      </c>
      <c r="B23" s="46"/>
      <c r="C23" s="47"/>
      <c r="D23" s="35" t="s">
        <v>1373</v>
      </c>
      <c r="E23" s="925">
        <f>+MATERIALES!E58</f>
        <v>33840.000000000007</v>
      </c>
      <c r="F23" s="35">
        <v>1</v>
      </c>
      <c r="G23" s="67">
        <f t="shared" si="0"/>
        <v>33840.000000000007</v>
      </c>
      <c r="H23" s="21"/>
    </row>
    <row r="24" spans="1:8" ht="15" thickBot="1">
      <c r="A24" s="51" t="s">
        <v>1371</v>
      </c>
      <c r="B24" s="52"/>
      <c r="C24" s="53"/>
      <c r="D24" s="38" t="s">
        <v>1235</v>
      </c>
      <c r="E24" s="926">
        <f>+MATERIALES!E59</f>
        <v>36800</v>
      </c>
      <c r="F24" s="38">
        <v>1</v>
      </c>
      <c r="G24" s="389">
        <f t="shared" si="0"/>
        <v>36800</v>
      </c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SUM(G19:G24)</f>
        <v>3973155.84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30" t="s">
        <v>295</v>
      </c>
      <c r="B27" s="932"/>
      <c r="C27" s="55" t="s">
        <v>296</v>
      </c>
      <c r="D27" s="932" t="s">
        <v>297</v>
      </c>
      <c r="E27" s="932" t="s">
        <v>298</v>
      </c>
      <c r="F27" s="932" t="s">
        <v>299</v>
      </c>
      <c r="G27" s="56" t="s">
        <v>287</v>
      </c>
      <c r="H27" s="29"/>
    </row>
    <row r="28" spans="1:8">
      <c r="A28" s="45" t="s">
        <v>1387</v>
      </c>
      <c r="B28" s="46"/>
      <c r="C28" s="950">
        <v>4</v>
      </c>
      <c r="D28" s="58"/>
      <c r="E28" s="58"/>
      <c r="F28" s="59">
        <f>+MATERIALES!E60</f>
        <v>22000</v>
      </c>
      <c r="G28" s="59">
        <f>+C28*F28</f>
        <v>88000</v>
      </c>
      <c r="H28" s="34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57"/>
      <c r="D30" s="58"/>
      <c r="E30" s="58"/>
      <c r="F30" s="59"/>
      <c r="G30" s="59"/>
      <c r="H30" s="34"/>
    </row>
    <row r="31" spans="1:8">
      <c r="A31" s="45"/>
      <c r="B31" s="46"/>
      <c r="C31" s="60"/>
      <c r="D31" s="30"/>
      <c r="E31" s="58"/>
      <c r="F31" s="59"/>
      <c r="G31" s="59"/>
      <c r="H31" s="34"/>
    </row>
    <row r="32" spans="1:8" ht="15" thickBot="1">
      <c r="A32" s="62"/>
      <c r="B32" s="63"/>
      <c r="C32" s="38"/>
      <c r="D32" s="38"/>
      <c r="E32" s="170"/>
      <c r="F32" s="171"/>
      <c r="G32" s="38"/>
      <c r="H32" s="34"/>
    </row>
    <row r="33" spans="1:8" ht="15" thickBot="1">
      <c r="A33" s="23"/>
      <c r="B33" s="23"/>
      <c r="C33" s="23"/>
      <c r="D33" s="23"/>
      <c r="E33" s="23"/>
      <c r="F33" s="23"/>
      <c r="G33" s="43" t="s">
        <v>289</v>
      </c>
      <c r="H33" s="44">
        <f>SUM(G28:G32)</f>
        <v>88000</v>
      </c>
    </row>
    <row r="34" spans="1:8" ht="15" thickBot="1">
      <c r="A34" s="54" t="s">
        <v>300</v>
      </c>
      <c r="B34" s="54"/>
      <c r="C34" s="23"/>
      <c r="D34" s="23"/>
      <c r="E34" s="23"/>
      <c r="F34" s="23"/>
      <c r="G34" s="23"/>
      <c r="H34" s="23"/>
    </row>
    <row r="35" spans="1:8">
      <c r="A35" s="930" t="s">
        <v>301</v>
      </c>
      <c r="B35" s="932"/>
      <c r="C35" s="932" t="s">
        <v>302</v>
      </c>
      <c r="D35" s="932" t="s">
        <v>303</v>
      </c>
      <c r="E35" s="85" t="s">
        <v>304</v>
      </c>
      <c r="F35" s="64" t="s">
        <v>286</v>
      </c>
      <c r="G35" s="931" t="s">
        <v>287</v>
      </c>
      <c r="H35" s="29"/>
    </row>
    <row r="36" spans="1:8">
      <c r="A36" s="1242" t="s">
        <v>1489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242" t="s">
        <v>1490</v>
      </c>
      <c r="B37" s="1242"/>
      <c r="C37" s="1019">
        <f>+SALARIOS!$C$48</f>
        <v>32688.566666666666</v>
      </c>
      <c r="D37" s="1020">
        <f>+SALARIOS!$D$48</f>
        <v>1.8056142176927319</v>
      </c>
      <c r="E37" s="951">
        <f>+C37*D37</f>
        <v>59022.940729330046</v>
      </c>
      <c r="F37" s="1030">
        <v>2</v>
      </c>
      <c r="G37" s="1021">
        <f>+E37*F37</f>
        <v>118045.88145866009</v>
      </c>
      <c r="H37" s="34"/>
    </row>
    <row r="38" spans="1:8" ht="23.25" customHeight="1">
      <c r="A38" s="1242" t="s">
        <v>1491</v>
      </c>
      <c r="B38" s="1242"/>
      <c r="C38" s="1019">
        <f>+SALARIOS!$C$48</f>
        <v>32688.566666666666</v>
      </c>
      <c r="D38" s="1020">
        <f>+SALARIOS!$D$48</f>
        <v>1.8056142176927319</v>
      </c>
      <c r="E38" s="951">
        <f>+C38*D38</f>
        <v>59022.940729330046</v>
      </c>
      <c r="F38" s="1030">
        <v>2</v>
      </c>
      <c r="G38" s="1021">
        <f>+E38*F38</f>
        <v>118045.88145866009</v>
      </c>
      <c r="H38" s="34"/>
    </row>
    <row r="39" spans="1:8">
      <c r="A39" s="1029" t="s">
        <v>1492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ref="E39:E42" si="1">+C39*D39</f>
        <v>59022.940729330046</v>
      </c>
      <c r="F39" s="1030">
        <v>1</v>
      </c>
      <c r="G39" s="1021">
        <f t="shared" ref="G39:G42" si="2">+E39*F39</f>
        <v>59022.940729330046</v>
      </c>
      <c r="H39" s="34"/>
    </row>
    <row r="40" spans="1:8">
      <c r="A40" s="1029" t="s">
        <v>1493</v>
      </c>
      <c r="B40" s="446"/>
      <c r="C40" s="1019">
        <f>+SALARIOS!$C$48</f>
        <v>32688.566666666666</v>
      </c>
      <c r="D40" s="1020">
        <f>+SALARIOS!$D$48</f>
        <v>1.8056142176927319</v>
      </c>
      <c r="E40" s="951">
        <f t="shared" si="1"/>
        <v>59022.940729330046</v>
      </c>
      <c r="F40" s="1030">
        <v>1</v>
      </c>
      <c r="G40" s="1021">
        <f t="shared" si="2"/>
        <v>59022.940729330046</v>
      </c>
      <c r="H40" s="34"/>
    </row>
    <row r="41" spans="1:8">
      <c r="A41" s="1029" t="s">
        <v>1494</v>
      </c>
      <c r="B41" s="446"/>
      <c r="C41" s="1019">
        <f>+SALARIOS!$C$48</f>
        <v>32688.566666666666</v>
      </c>
      <c r="D41" s="1020">
        <f>+SALARIOS!$D$48</f>
        <v>1.8056142176927319</v>
      </c>
      <c r="E41" s="951">
        <f t="shared" si="1"/>
        <v>59022.940729330046</v>
      </c>
      <c r="F41" s="1030">
        <v>1</v>
      </c>
      <c r="G41" s="1021">
        <f t="shared" si="2"/>
        <v>59022.940729330046</v>
      </c>
      <c r="H41" s="34"/>
    </row>
    <row r="42" spans="1:8" ht="15" thickBot="1">
      <c r="A42" s="1242" t="s">
        <v>1496</v>
      </c>
      <c r="B42" s="1242"/>
      <c r="C42" s="1019">
        <f>+SALARIOS!$C$48</f>
        <v>32688.566666666666</v>
      </c>
      <c r="D42" s="1020">
        <f>+SALARIOS!$D$48</f>
        <v>1.8056142176927319</v>
      </c>
      <c r="E42" s="1026">
        <f t="shared" si="1"/>
        <v>59022.940729330046</v>
      </c>
      <c r="F42" s="1031">
        <v>2</v>
      </c>
      <c r="G42" s="1027">
        <f t="shared" si="2"/>
        <v>118045.88145866009</v>
      </c>
      <c r="H42" s="34"/>
    </row>
    <row r="43" spans="1:8" ht="15" thickBot="1">
      <c r="A43" s="23"/>
      <c r="B43" s="23"/>
      <c r="C43" s="23"/>
      <c r="D43" s="23"/>
      <c r="E43" s="23"/>
      <c r="F43" s="23"/>
      <c r="G43" s="43" t="s">
        <v>289</v>
      </c>
      <c r="H43" s="44">
        <f>SUM(G36:G42)</f>
        <v>649252.34802263055</v>
      </c>
    </row>
    <row r="44" spans="1:8" ht="15" thickBot="1">
      <c r="A44" s="23"/>
      <c r="B44" s="23"/>
      <c r="C44" s="23"/>
      <c r="D44" s="23"/>
      <c r="E44" s="23"/>
      <c r="F44" s="23"/>
      <c r="G44" s="69"/>
      <c r="H44" s="20"/>
    </row>
    <row r="45" spans="1:8" ht="15" thickBot="1">
      <c r="A45" s="23"/>
      <c r="B45" s="23"/>
      <c r="C45" s="23"/>
      <c r="D45" s="23"/>
      <c r="E45" s="43" t="s">
        <v>306</v>
      </c>
      <c r="F45" s="69"/>
      <c r="G45" s="69"/>
      <c r="H45" s="44">
        <f>H16+H25+H33+H43</f>
        <v>4775333.4228248931</v>
      </c>
    </row>
    <row r="46" spans="1:8" ht="15" thickBot="1">
      <c r="A46" s="25" t="s">
        <v>307</v>
      </c>
      <c r="B46" s="25"/>
      <c r="C46" s="23"/>
      <c r="D46" s="23"/>
      <c r="E46" s="23"/>
      <c r="F46" s="23"/>
      <c r="G46" s="23"/>
      <c r="H46" s="23"/>
    </row>
    <row r="47" spans="1:8">
      <c r="A47" s="192" t="s">
        <v>283</v>
      </c>
      <c r="B47" s="943"/>
      <c r="C47" s="943"/>
      <c r="D47" s="943"/>
      <c r="E47" s="944"/>
      <c r="F47" s="944" t="s">
        <v>308</v>
      </c>
      <c r="G47" s="943" t="s">
        <v>309</v>
      </c>
      <c r="H47" s="29"/>
    </row>
    <row r="48" spans="1:8">
      <c r="A48" s="45" t="s">
        <v>310</v>
      </c>
      <c r="B48" s="46"/>
      <c r="C48" s="46"/>
      <c r="D48" s="46"/>
      <c r="E48" s="47"/>
      <c r="F48" s="77">
        <f>+SALARIOS!C43</f>
        <v>0.15</v>
      </c>
      <c r="G48" s="78">
        <f>++F48*H45</f>
        <v>716300.013423734</v>
      </c>
      <c r="H48" s="79"/>
    </row>
    <row r="49" spans="1:8">
      <c r="A49" s="45" t="s">
        <v>311</v>
      </c>
      <c r="B49" s="46"/>
      <c r="C49" s="46"/>
      <c r="D49" s="46"/>
      <c r="E49" s="47"/>
      <c r="F49" s="77">
        <f>+SALARIOS!C44</f>
        <v>0.05</v>
      </c>
      <c r="G49" s="78">
        <f>+F49*H45</f>
        <v>238766.67114124467</v>
      </c>
      <c r="H49" s="79"/>
    </row>
    <row r="50" spans="1:8" ht="15" thickBot="1">
      <c r="A50" s="51" t="s">
        <v>312</v>
      </c>
      <c r="B50" s="52"/>
      <c r="C50" s="52"/>
      <c r="D50" s="52"/>
      <c r="E50" s="53"/>
      <c r="F50" s="80">
        <f>+SALARIOS!C45</f>
        <v>0.05</v>
      </c>
      <c r="G50" s="81">
        <f>+F50*H45</f>
        <v>238766.67114124467</v>
      </c>
      <c r="H50" s="42"/>
    </row>
    <row r="51" spans="1:8" ht="15" thickBot="1">
      <c r="A51" s="23"/>
      <c r="B51" s="23"/>
      <c r="C51" s="23"/>
      <c r="D51" s="23"/>
      <c r="E51" s="23"/>
      <c r="F51" s="23"/>
      <c r="G51" s="43" t="s">
        <v>289</v>
      </c>
      <c r="H51" s="82">
        <f>SUM(G48:G50)</f>
        <v>1193833.3557062233</v>
      </c>
    </row>
    <row r="52" spans="1:8" ht="15" thickBot="1">
      <c r="A52" s="23"/>
      <c r="B52" s="23"/>
      <c r="C52" s="23"/>
      <c r="D52" s="23"/>
      <c r="E52" s="23"/>
      <c r="F52" s="23"/>
      <c r="G52" s="23"/>
      <c r="H52" s="23"/>
    </row>
    <row r="53" spans="1:8" ht="15" thickBot="1">
      <c r="A53" s="2"/>
      <c r="B53" s="2"/>
      <c r="C53" s="23"/>
      <c r="D53" s="43" t="s">
        <v>313</v>
      </c>
      <c r="E53" s="69"/>
      <c r="F53" s="69"/>
      <c r="G53" s="69"/>
      <c r="H53" s="44">
        <f>ROUND((H45+H51),0)</f>
        <v>5969167</v>
      </c>
    </row>
  </sheetData>
  <mergeCells count="6">
    <mergeCell ref="A42:B42"/>
    <mergeCell ref="A3:C4"/>
    <mergeCell ref="A8:E8"/>
    <mergeCell ref="A36:B36"/>
    <mergeCell ref="A37:B37"/>
    <mergeCell ref="A38:B38"/>
  </mergeCells>
  <pageMargins left="0.7" right="0.7" top="0.75" bottom="0.75" header="0.3" footer="0.3"/>
  <pageSetup paperSize="9" scale="90" orientation="portrait" horizontalDpi="0" verticalDpi="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53"/>
  <sheetViews>
    <sheetView topLeftCell="A4" workbookViewId="0">
      <selection activeCell="O49" sqref="O49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780</v>
      </c>
      <c r="H7" s="23"/>
    </row>
    <row r="8" spans="1:8">
      <c r="A8" s="1235" t="s">
        <v>1396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H43*10%</f>
        <v>79680.969984595577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79680.969984595577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1390</v>
      </c>
      <c r="B19" s="46"/>
      <c r="C19" s="47"/>
      <c r="D19" s="30" t="s">
        <v>1175</v>
      </c>
      <c r="E19" s="924">
        <f>+MATERIALES!E40</f>
        <v>2999.9999999999995</v>
      </c>
      <c r="F19" s="30">
        <v>40</v>
      </c>
      <c r="G19" s="485">
        <f t="shared" ref="G19:G24" si="0">+E19*F19</f>
        <v>119999.99999999999</v>
      </c>
      <c r="H19" s="21"/>
    </row>
    <row r="20" spans="1:8">
      <c r="A20" s="45" t="s">
        <v>1394</v>
      </c>
      <c r="B20" s="46"/>
      <c r="C20" s="47"/>
      <c r="D20" s="30" t="s">
        <v>1175</v>
      </c>
      <c r="E20" s="924">
        <f>+MATERIALES!E61</f>
        <v>8000</v>
      </c>
      <c r="F20" s="30">
        <v>80</v>
      </c>
      <c r="G20" s="485">
        <f t="shared" si="0"/>
        <v>640000</v>
      </c>
      <c r="H20" s="21"/>
    </row>
    <row r="21" spans="1:8">
      <c r="A21" s="45" t="s">
        <v>1368</v>
      </c>
      <c r="B21" s="46"/>
      <c r="C21" s="47"/>
      <c r="D21" s="30" t="s">
        <v>1235</v>
      </c>
      <c r="E21" s="924">
        <f>+MATERIALES!E57</f>
        <v>1623.0000000000002</v>
      </c>
      <c r="F21" s="30">
        <v>45.345509309967142</v>
      </c>
      <c r="G21" s="67">
        <f t="shared" si="0"/>
        <v>73595.761610076675</v>
      </c>
      <c r="H21" s="21"/>
    </row>
    <row r="22" spans="1:8">
      <c r="A22" s="45" t="s">
        <v>1395</v>
      </c>
      <c r="B22" s="46"/>
      <c r="C22" s="47"/>
      <c r="D22" s="35" t="s">
        <v>1235</v>
      </c>
      <c r="E22" s="953">
        <f>+MATERIALES!E62</f>
        <v>843.5</v>
      </c>
      <c r="F22" s="35">
        <v>45</v>
      </c>
      <c r="G22" s="67">
        <f t="shared" si="0"/>
        <v>37957.5</v>
      </c>
      <c r="H22" s="21"/>
    </row>
    <row r="23" spans="1:8">
      <c r="A23" s="45" t="s">
        <v>1369</v>
      </c>
      <c r="B23" s="46"/>
      <c r="C23" s="47"/>
      <c r="D23" s="35" t="s">
        <v>1370</v>
      </c>
      <c r="E23" s="925">
        <f>+MATERIALES!E58</f>
        <v>33840.000000000007</v>
      </c>
      <c r="F23" s="35">
        <v>2</v>
      </c>
      <c r="G23" s="67">
        <f t="shared" si="0"/>
        <v>67680.000000000015</v>
      </c>
      <c r="H23" s="21"/>
    </row>
    <row r="24" spans="1:8" ht="15" thickBot="1">
      <c r="A24" s="51" t="s">
        <v>1371</v>
      </c>
      <c r="B24" s="52"/>
      <c r="C24" s="53"/>
      <c r="D24" s="38" t="s">
        <v>1235</v>
      </c>
      <c r="E24" s="926">
        <f>+MATERIALES!E59</f>
        <v>36800</v>
      </c>
      <c r="F24" s="38">
        <v>2</v>
      </c>
      <c r="G24" s="389">
        <f t="shared" si="0"/>
        <v>73600</v>
      </c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SUM(G19:G24)</f>
        <v>1012833.2616100766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30" t="s">
        <v>295</v>
      </c>
      <c r="B27" s="932"/>
      <c r="C27" s="55" t="s">
        <v>296</v>
      </c>
      <c r="D27" s="932" t="s">
        <v>297</v>
      </c>
      <c r="E27" s="932" t="s">
        <v>298</v>
      </c>
      <c r="F27" s="932" t="s">
        <v>299</v>
      </c>
      <c r="G27" s="56" t="s">
        <v>287</v>
      </c>
      <c r="H27" s="29"/>
    </row>
    <row r="28" spans="1:8">
      <c r="A28" s="45" t="s">
        <v>1387</v>
      </c>
      <c r="B28" s="46"/>
      <c r="C28" s="950">
        <v>4</v>
      </c>
      <c r="D28" s="58"/>
      <c r="E28" s="58"/>
      <c r="F28" s="59">
        <f>+MATERIALES!E60</f>
        <v>22000</v>
      </c>
      <c r="G28" s="59">
        <f>+C28*F28</f>
        <v>88000</v>
      </c>
      <c r="H28" s="34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57"/>
      <c r="D30" s="58"/>
      <c r="E30" s="58"/>
      <c r="F30" s="59"/>
      <c r="G30" s="59"/>
      <c r="H30" s="34"/>
    </row>
    <row r="31" spans="1:8">
      <c r="A31" s="45"/>
      <c r="B31" s="46"/>
      <c r="C31" s="60"/>
      <c r="D31" s="30"/>
      <c r="E31" s="58"/>
      <c r="F31" s="59"/>
      <c r="G31" s="59"/>
      <c r="H31" s="34"/>
    </row>
    <row r="32" spans="1:8" ht="15" thickBot="1">
      <c r="A32" s="62"/>
      <c r="B32" s="63"/>
      <c r="C32" s="38"/>
      <c r="D32" s="38"/>
      <c r="E32" s="170"/>
      <c r="F32" s="171"/>
      <c r="G32" s="38"/>
      <c r="H32" s="34"/>
    </row>
    <row r="33" spans="1:8" ht="15" thickBot="1">
      <c r="A33" s="23"/>
      <c r="B33" s="23"/>
      <c r="C33" s="23"/>
      <c r="D33" s="23"/>
      <c r="E33" s="23"/>
      <c r="F33" s="23"/>
      <c r="G33" s="43" t="s">
        <v>289</v>
      </c>
      <c r="H33" s="44">
        <f>SUM(G28:G32)</f>
        <v>88000</v>
      </c>
    </row>
    <row r="34" spans="1:8" ht="15" thickBot="1">
      <c r="A34" s="54" t="s">
        <v>300</v>
      </c>
      <c r="B34" s="54"/>
      <c r="C34" s="23"/>
      <c r="D34" s="23"/>
      <c r="E34" s="23"/>
      <c r="F34" s="23"/>
      <c r="G34" s="23"/>
      <c r="H34" s="23"/>
    </row>
    <row r="35" spans="1:8">
      <c r="A35" s="930" t="s">
        <v>301</v>
      </c>
      <c r="B35" s="932"/>
      <c r="C35" s="932" t="s">
        <v>302</v>
      </c>
      <c r="D35" s="932" t="s">
        <v>303</v>
      </c>
      <c r="E35" s="85" t="s">
        <v>304</v>
      </c>
      <c r="F35" s="64" t="s">
        <v>286</v>
      </c>
      <c r="G35" s="931" t="s">
        <v>287</v>
      </c>
      <c r="H35" s="29"/>
    </row>
    <row r="36" spans="1:8">
      <c r="A36" s="1242" t="s">
        <v>1489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242" t="s">
        <v>1490</v>
      </c>
      <c r="B37" s="1242"/>
      <c r="C37" s="1019">
        <f>+SALARIOS!$C$48</f>
        <v>32688.566666666666</v>
      </c>
      <c r="D37" s="1020">
        <f>+SALARIOS!$D$48</f>
        <v>1.8056142176927319</v>
      </c>
      <c r="E37" s="951">
        <f>+C37*D37</f>
        <v>59022.940729330046</v>
      </c>
      <c r="F37" s="1030">
        <v>2</v>
      </c>
      <c r="G37" s="1021">
        <f>+E37*F37</f>
        <v>118045.88145866009</v>
      </c>
      <c r="H37" s="34"/>
    </row>
    <row r="38" spans="1:8" ht="22.5" customHeight="1">
      <c r="A38" s="1242" t="s">
        <v>1491</v>
      </c>
      <c r="B38" s="1242"/>
      <c r="C38" s="1019">
        <f>+SALARIOS!$C$48</f>
        <v>32688.566666666666</v>
      </c>
      <c r="D38" s="1020">
        <f>+SALARIOS!$D$48</f>
        <v>1.8056142176927319</v>
      </c>
      <c r="E38" s="951">
        <f>+C38*D38</f>
        <v>59022.940729330046</v>
      </c>
      <c r="F38" s="1030">
        <v>3</v>
      </c>
      <c r="G38" s="1021">
        <f>+E38*F38</f>
        <v>177068.82218799012</v>
      </c>
      <c r="H38" s="34"/>
    </row>
    <row r="39" spans="1:8">
      <c r="A39" s="1029" t="s">
        <v>1492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ref="E39:E42" si="1">+C39*D39</f>
        <v>59022.940729330046</v>
      </c>
      <c r="F39" s="1030">
        <v>1</v>
      </c>
      <c r="G39" s="1021">
        <f t="shared" ref="G39:G42" si="2">+E39*F39</f>
        <v>59022.940729330046</v>
      </c>
      <c r="H39" s="34"/>
    </row>
    <row r="40" spans="1:8">
      <c r="A40" s="1029" t="s">
        <v>1493</v>
      </c>
      <c r="B40" s="446"/>
      <c r="C40" s="1019">
        <f>+SALARIOS!$C$48</f>
        <v>32688.566666666666</v>
      </c>
      <c r="D40" s="1020">
        <f>+SALARIOS!$D$48</f>
        <v>1.8056142176927319</v>
      </c>
      <c r="E40" s="951">
        <f t="shared" si="1"/>
        <v>59022.940729330046</v>
      </c>
      <c r="F40" s="1030">
        <v>1</v>
      </c>
      <c r="G40" s="1021">
        <f t="shared" si="2"/>
        <v>59022.940729330046</v>
      </c>
      <c r="H40" s="34"/>
    </row>
    <row r="41" spans="1:8">
      <c r="A41" s="1029" t="s">
        <v>1494</v>
      </c>
      <c r="B41" s="446"/>
      <c r="C41" s="1019">
        <f>+SALARIOS!$C$48</f>
        <v>32688.566666666666</v>
      </c>
      <c r="D41" s="1020">
        <f>+SALARIOS!$D$48</f>
        <v>1.8056142176927319</v>
      </c>
      <c r="E41" s="951">
        <f t="shared" si="1"/>
        <v>59022.940729330046</v>
      </c>
      <c r="F41" s="1030">
        <v>1.5</v>
      </c>
      <c r="G41" s="1021">
        <f t="shared" si="2"/>
        <v>88534.411093995062</v>
      </c>
      <c r="H41" s="34"/>
    </row>
    <row r="42" spans="1:8" ht="15" thickBot="1">
      <c r="A42" s="1242" t="s">
        <v>1496</v>
      </c>
      <c r="B42" s="1242"/>
      <c r="C42" s="1019">
        <f>+SALARIOS!$C$48</f>
        <v>32688.566666666666</v>
      </c>
      <c r="D42" s="1020">
        <f>+SALARIOS!$D$48</f>
        <v>1.8056142176927319</v>
      </c>
      <c r="E42" s="1026">
        <f t="shared" si="1"/>
        <v>59022.940729330046</v>
      </c>
      <c r="F42" s="1031">
        <v>3</v>
      </c>
      <c r="G42" s="1027">
        <f t="shared" si="2"/>
        <v>177068.82218799012</v>
      </c>
      <c r="H42" s="34"/>
    </row>
    <row r="43" spans="1:8" ht="15" thickBot="1">
      <c r="A43" s="23"/>
      <c r="B43" s="23"/>
      <c r="C43" s="23"/>
      <c r="D43" s="23"/>
      <c r="E43" s="23"/>
      <c r="F43" s="23"/>
      <c r="G43" s="43" t="s">
        <v>289</v>
      </c>
      <c r="H43" s="44">
        <f>SUM(G36:G42)</f>
        <v>796809.69984595571</v>
      </c>
    </row>
    <row r="44" spans="1:8" ht="15" thickBot="1">
      <c r="A44" s="23"/>
      <c r="B44" s="23"/>
      <c r="C44" s="23"/>
      <c r="D44" s="23"/>
      <c r="E44" s="23"/>
      <c r="F44" s="23"/>
      <c r="G44" s="69"/>
      <c r="H44" s="20"/>
    </row>
    <row r="45" spans="1:8" ht="15" thickBot="1">
      <c r="A45" s="23"/>
      <c r="B45" s="23"/>
      <c r="C45" s="23"/>
      <c r="D45" s="23"/>
      <c r="E45" s="43" t="s">
        <v>306</v>
      </c>
      <c r="F45" s="69"/>
      <c r="G45" s="69"/>
      <c r="H45" s="44">
        <f>H16+H25+H33+H43</f>
        <v>1977323.9314406279</v>
      </c>
    </row>
    <row r="46" spans="1:8" ht="15" thickBot="1">
      <c r="A46" s="25" t="s">
        <v>307</v>
      </c>
      <c r="B46" s="25"/>
      <c r="C46" s="23"/>
      <c r="D46" s="23"/>
      <c r="E46" s="23"/>
      <c r="F46" s="23"/>
      <c r="G46" s="23"/>
      <c r="H46" s="23"/>
    </row>
    <row r="47" spans="1:8">
      <c r="A47" s="192" t="s">
        <v>283</v>
      </c>
      <c r="B47" s="943"/>
      <c r="C47" s="943"/>
      <c r="D47" s="943"/>
      <c r="E47" s="944"/>
      <c r="F47" s="944" t="s">
        <v>308</v>
      </c>
      <c r="G47" s="943" t="s">
        <v>309</v>
      </c>
      <c r="H47" s="29"/>
    </row>
    <row r="48" spans="1:8">
      <c r="A48" s="45" t="s">
        <v>310</v>
      </c>
      <c r="B48" s="46"/>
      <c r="C48" s="46"/>
      <c r="D48" s="46"/>
      <c r="E48" s="47"/>
      <c r="F48" s="77">
        <f>+SALARIOS!C43</f>
        <v>0.15</v>
      </c>
      <c r="G48" s="78">
        <f>++F48*H45</f>
        <v>296598.5897160942</v>
      </c>
      <c r="H48" s="79"/>
    </row>
    <row r="49" spans="1:8">
      <c r="A49" s="45" t="s">
        <v>311</v>
      </c>
      <c r="B49" s="46"/>
      <c r="C49" s="46"/>
      <c r="D49" s="46"/>
      <c r="E49" s="47"/>
      <c r="F49" s="77">
        <f>+SALARIOS!C44</f>
        <v>0.05</v>
      </c>
      <c r="G49" s="78">
        <f>+F49*H45</f>
        <v>98866.196572031404</v>
      </c>
      <c r="H49" s="79"/>
    </row>
    <row r="50" spans="1:8" ht="15" thickBot="1">
      <c r="A50" s="51" t="s">
        <v>312</v>
      </c>
      <c r="B50" s="52"/>
      <c r="C50" s="52"/>
      <c r="D50" s="52"/>
      <c r="E50" s="53"/>
      <c r="F50" s="80">
        <f>+SALARIOS!C45</f>
        <v>0.05</v>
      </c>
      <c r="G50" s="81">
        <f>+F50*H45</f>
        <v>98866.196572031404</v>
      </c>
      <c r="H50" s="42"/>
    </row>
    <row r="51" spans="1:8" ht="15" thickBot="1">
      <c r="A51" s="23"/>
      <c r="B51" s="23"/>
      <c r="C51" s="23"/>
      <c r="D51" s="23"/>
      <c r="E51" s="23"/>
      <c r="F51" s="23"/>
      <c r="G51" s="43" t="s">
        <v>289</v>
      </c>
      <c r="H51" s="82">
        <f>SUM(G48:G50)</f>
        <v>494330.98286015703</v>
      </c>
    </row>
    <row r="52" spans="1:8" ht="15" thickBot="1">
      <c r="A52" s="23"/>
      <c r="B52" s="23"/>
      <c r="C52" s="23"/>
      <c r="D52" s="23"/>
      <c r="E52" s="23"/>
      <c r="F52" s="23"/>
      <c r="G52" s="23"/>
      <c r="H52" s="23"/>
    </row>
    <row r="53" spans="1:8" ht="15" thickBot="1">
      <c r="A53" s="2"/>
      <c r="B53" s="2"/>
      <c r="C53" s="23"/>
      <c r="D53" s="43" t="s">
        <v>313</v>
      </c>
      <c r="E53" s="69"/>
      <c r="F53" s="69"/>
      <c r="G53" s="69"/>
      <c r="H53" s="44">
        <f>ROUND((H45+H51),0)</f>
        <v>2471655</v>
      </c>
    </row>
  </sheetData>
  <mergeCells count="6">
    <mergeCell ref="A42:B42"/>
    <mergeCell ref="A3:C4"/>
    <mergeCell ref="A8:E8"/>
    <mergeCell ref="A36:B36"/>
    <mergeCell ref="A37:B37"/>
    <mergeCell ref="A38:B38"/>
  </mergeCells>
  <pageMargins left="0.7" right="0.7" top="0.75" bottom="0.75" header="0.3" footer="0.3"/>
  <pageSetup paperSize="9" scale="9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51"/>
  <sheetViews>
    <sheetView workbookViewId="0">
      <selection activeCell="O48" sqref="O48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781</v>
      </c>
      <c r="H7" s="23"/>
    </row>
    <row r="8" spans="1:8">
      <c r="A8" s="1235" t="s">
        <v>1401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67876.381838729561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67876.381838729561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1400</v>
      </c>
      <c r="B19" s="46"/>
      <c r="C19" s="47"/>
      <c r="D19" s="30" t="s">
        <v>1175</v>
      </c>
      <c r="E19" s="924">
        <f>+MATERIALES!E63</f>
        <v>1000.0000000000003</v>
      </c>
      <c r="F19" s="30">
        <v>625</v>
      </c>
      <c r="G19" s="485">
        <f>+E19*F19</f>
        <v>625000.00000000023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30">
        <v>32.003970683616558</v>
      </c>
      <c r="G20" s="67">
        <f>+E20*F20</f>
        <v>51942.44441950968</v>
      </c>
      <c r="H20" s="21"/>
    </row>
    <row r="21" spans="1:8">
      <c r="A21" s="45" t="s">
        <v>1369</v>
      </c>
      <c r="B21" s="46"/>
      <c r="C21" s="47"/>
      <c r="D21" s="35" t="s">
        <v>1370</v>
      </c>
      <c r="E21" s="925">
        <f>+MATERIALES!E58</f>
        <v>33840.000000000007</v>
      </c>
      <c r="F21" s="113">
        <v>1.5</v>
      </c>
      <c r="G21" s="67">
        <f>+E21*F21</f>
        <v>50760.000000000015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1</v>
      </c>
      <c r="G22" s="389">
        <f>+E22*F22</f>
        <v>36800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764502.44441950996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4</v>
      </c>
      <c r="D26" s="58"/>
      <c r="E26" s="58"/>
      <c r="F26" s="59">
        <f>+MATERIALES!E60</f>
        <v>22000</v>
      </c>
      <c r="G26" s="59">
        <f>+C26*F26</f>
        <v>88000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88000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+SALARIOS!$C$48</f>
        <v>32688.566666666666</v>
      </c>
      <c r="D34" s="1020">
        <f>+SALARIOS!$D$48</f>
        <v>1.8056142176927319</v>
      </c>
      <c r="E34" s="951">
        <f>+C34*D34</f>
        <v>59022.940729330046</v>
      </c>
      <c r="F34" s="1030">
        <v>2</v>
      </c>
      <c r="G34" s="1021">
        <f>+E34*F34</f>
        <v>118045.88145866009</v>
      </c>
      <c r="H34" s="34"/>
    </row>
    <row r="35" spans="1:8">
      <c r="A35" s="1242" t="s">
        <v>1490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2</v>
      </c>
      <c r="G35" s="1021">
        <f>+E35*F35</f>
        <v>118045.88145866009</v>
      </c>
      <c r="H35" s="34"/>
    </row>
    <row r="36" spans="1:8" ht="18" customHeight="1">
      <c r="A36" s="1242" t="s">
        <v>1491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1030">
        <v>1</v>
      </c>
      <c r="G37" s="1021">
        <f t="shared" ref="G37:G40" si="1">+E37*F37</f>
        <v>59022.940729330046</v>
      </c>
      <c r="H37" s="34"/>
    </row>
    <row r="38" spans="1:8">
      <c r="A38" s="1029" t="s">
        <v>1493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1030">
        <v>1</v>
      </c>
      <c r="G38" s="1021">
        <f t="shared" si="1"/>
        <v>59022.940729330046</v>
      </c>
      <c r="H38" s="34"/>
    </row>
    <row r="39" spans="1:8">
      <c r="A39" s="1029" t="s">
        <v>1494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1030">
        <v>1.5</v>
      </c>
      <c r="G39" s="1021">
        <f t="shared" si="1"/>
        <v>88534.411093995062</v>
      </c>
      <c r="H39" s="34"/>
    </row>
    <row r="40" spans="1:8" ht="15" thickBot="1">
      <c r="A40" s="1242" t="s">
        <v>1496</v>
      </c>
      <c r="B40" s="1242"/>
      <c r="C40" s="1019">
        <f>+SALARIOS!$C$48</f>
        <v>32688.566666666666</v>
      </c>
      <c r="D40" s="1020">
        <f>+SALARIOS!$D$48</f>
        <v>1.8056142176927319</v>
      </c>
      <c r="E40" s="1026">
        <f t="shared" si="0"/>
        <v>59022.940729330046</v>
      </c>
      <c r="F40" s="1031">
        <v>2</v>
      </c>
      <c r="G40" s="1027">
        <f t="shared" si="1"/>
        <v>118045.88145866009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678763.81838729559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1599142.6446455352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943"/>
      <c r="C45" s="943"/>
      <c r="D45" s="943"/>
      <c r="E45" s="944"/>
      <c r="F45" s="944" t="s">
        <v>308</v>
      </c>
      <c r="G45" s="943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239871.39669683026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79957.132232276766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79957.132232276766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399785.66116138379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1998928</v>
      </c>
    </row>
  </sheetData>
  <mergeCells count="6">
    <mergeCell ref="A40:B40"/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51"/>
  <sheetViews>
    <sheetView workbookViewId="0">
      <selection activeCell="G8" sqref="G8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1751</v>
      </c>
      <c r="H7" s="23"/>
    </row>
    <row r="8" spans="1:8">
      <c r="A8" s="1235" t="s">
        <v>1403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82632.117021062077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82632.117021062077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1400</v>
      </c>
      <c r="B19" s="46"/>
      <c r="C19" s="47"/>
      <c r="D19" s="30" t="s">
        <v>1175</v>
      </c>
      <c r="E19" s="924">
        <f>+MATERIALES!E63</f>
        <v>1000.0000000000003</v>
      </c>
      <c r="F19" s="30">
        <v>125</v>
      </c>
      <c r="G19" s="485">
        <f>+E19*F19</f>
        <v>125000.00000000004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30">
        <v>11.720826487019387</v>
      </c>
      <c r="G20" s="67">
        <f>+E20*F20</f>
        <v>19022.901388432467</v>
      </c>
      <c r="H20" s="21"/>
    </row>
    <row r="21" spans="1:8">
      <c r="A21" s="45" t="s">
        <v>1369</v>
      </c>
      <c r="B21" s="46"/>
      <c r="C21" s="47"/>
      <c r="D21" s="35" t="s">
        <v>1370</v>
      </c>
      <c r="E21" s="925">
        <f>+MATERIALES!E58</f>
        <v>33840.000000000007</v>
      </c>
      <c r="F21" s="35">
        <v>2</v>
      </c>
      <c r="G21" s="67">
        <f>+E21*F21</f>
        <v>67680.000000000015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2</v>
      </c>
      <c r="G22" s="389">
        <f>+E22*F22</f>
        <v>73600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285302.90138843254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4</v>
      </c>
      <c r="D26" s="58"/>
      <c r="E26" s="58"/>
      <c r="F26" s="59">
        <f>+MATERIALES!E60</f>
        <v>22000</v>
      </c>
      <c r="G26" s="59">
        <f>+C26*F26</f>
        <v>88000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88000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+SALARIOS!$C$48</f>
        <v>32688.566666666666</v>
      </c>
      <c r="D34" s="1020">
        <f>+SALARIOS!$D$48</f>
        <v>1.8056142176927319</v>
      </c>
      <c r="E34" s="951">
        <f>+C34*D34</f>
        <v>59022.940729330046</v>
      </c>
      <c r="F34" s="1030">
        <v>4</v>
      </c>
      <c r="G34" s="1021">
        <f>+E34*F34</f>
        <v>236091.76291732019</v>
      </c>
      <c r="H34" s="34"/>
    </row>
    <row r="35" spans="1:8">
      <c r="A35" s="1242" t="s">
        <v>1490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2</v>
      </c>
      <c r="G35" s="1021">
        <f>+E35*F35</f>
        <v>118045.88145866009</v>
      </c>
      <c r="H35" s="34"/>
    </row>
    <row r="36" spans="1:8" ht="18.75" customHeight="1">
      <c r="A36" s="1242" t="s">
        <v>1491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1030">
        <v>1</v>
      </c>
      <c r="G37" s="1021">
        <f t="shared" ref="G37:G40" si="1">+E37*F37</f>
        <v>59022.940729330046</v>
      </c>
      <c r="H37" s="34"/>
    </row>
    <row r="38" spans="1:8">
      <c r="A38" s="1029" t="s">
        <v>1493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1030">
        <v>1</v>
      </c>
      <c r="G38" s="1021">
        <f t="shared" si="1"/>
        <v>59022.940729330046</v>
      </c>
      <c r="H38" s="34"/>
    </row>
    <row r="39" spans="1:8">
      <c r="A39" s="1029" t="s">
        <v>1494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1030">
        <v>2</v>
      </c>
      <c r="G39" s="1021">
        <f t="shared" si="1"/>
        <v>118045.88145866009</v>
      </c>
      <c r="H39" s="34"/>
    </row>
    <row r="40" spans="1:8" ht="15" thickBot="1">
      <c r="A40" s="1242" t="s">
        <v>1496</v>
      </c>
      <c r="B40" s="1242"/>
      <c r="C40" s="1019">
        <f>+SALARIOS!$C$48</f>
        <v>32688.566666666666</v>
      </c>
      <c r="D40" s="1020">
        <f>+SALARIOS!$D$48</f>
        <v>1.8056142176927319</v>
      </c>
      <c r="E40" s="1026">
        <f t="shared" si="0"/>
        <v>59022.940729330046</v>
      </c>
      <c r="F40" s="1031">
        <v>2</v>
      </c>
      <c r="G40" s="1027">
        <f t="shared" si="1"/>
        <v>118045.88145866009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826321.17021062074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1282256.1886201154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943"/>
      <c r="C45" s="943"/>
      <c r="D45" s="943"/>
      <c r="E45" s="944"/>
      <c r="F45" s="944" t="s">
        <v>308</v>
      </c>
      <c r="G45" s="943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192338.42829301729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64112.809431005771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64112.809431005771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320564.04715502885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1602820</v>
      </c>
    </row>
  </sheetData>
  <mergeCells count="6">
    <mergeCell ref="A40:B40"/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G9" sqref="G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367</v>
      </c>
      <c r="B7" s="24"/>
      <c r="C7" s="23"/>
      <c r="D7" s="2"/>
      <c r="E7" s="24"/>
      <c r="F7" s="2"/>
      <c r="G7" s="24" t="s">
        <v>363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4826.2010261540254</v>
      </c>
      <c r="H12" s="34"/>
    </row>
    <row r="13" spans="1:8">
      <c r="A13" s="134" t="s">
        <v>43</v>
      </c>
      <c r="B13" s="135"/>
      <c r="C13" s="133"/>
      <c r="D13" s="133" t="s">
        <v>7</v>
      </c>
      <c r="E13" s="132">
        <f>+'EQUIPOS '!D6</f>
        <v>84117</v>
      </c>
      <c r="F13" s="59">
        <v>6.4542023312856855E-2</v>
      </c>
      <c r="G13" s="132">
        <f>+E13*F13</f>
        <v>5429.0813750075804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10255.282401161607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7" t="s">
        <v>302</v>
      </c>
      <c r="D33" s="117" t="s">
        <v>303</v>
      </c>
      <c r="E33" s="85" t="s">
        <v>304</v>
      </c>
      <c r="F33" s="64" t="s">
        <v>286</v>
      </c>
      <c r="G33" s="11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(C34*D34)</f>
        <v>177068.82218799012</v>
      </c>
      <c r="F34" s="59">
        <v>0.27256074595843599</v>
      </c>
      <c r="G34" s="67">
        <f>E34*F34</f>
        <v>48262.01026154025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48262.01026154025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58517.292662701861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8777.5938994052794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2925.8646331350933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2925.8646331350933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14629.323165675467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73147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51"/>
  <sheetViews>
    <sheetView workbookViewId="0">
      <selection activeCell="G8" sqref="G8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1752</v>
      </c>
      <c r="H7" s="23"/>
    </row>
    <row r="8" spans="1:8">
      <c r="A8" s="1235" t="s">
        <v>1405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67876.381838729561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67876.381838729561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1406</v>
      </c>
      <c r="B19" s="46"/>
      <c r="C19" s="47"/>
      <c r="D19" s="30" t="s">
        <v>1175</v>
      </c>
      <c r="E19" s="924">
        <f>+MATERIALES!E40</f>
        <v>2999.9999999999995</v>
      </c>
      <c r="F19" s="30">
        <v>555</v>
      </c>
      <c r="G19" s="485">
        <f>+E19*F19</f>
        <v>1664999.9999999998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59">
        <v>26.66448276907985</v>
      </c>
      <c r="G20" s="67">
        <f>+E20*F20</f>
        <v>43276.455534216606</v>
      </c>
      <c r="H20" s="21"/>
    </row>
    <row r="21" spans="1:8">
      <c r="A21" s="45" t="s">
        <v>1369</v>
      </c>
      <c r="B21" s="46"/>
      <c r="C21" s="47"/>
      <c r="D21" s="35" t="s">
        <v>1370</v>
      </c>
      <c r="E21" s="925">
        <f>+MATERIALES!E58</f>
        <v>33840.000000000007</v>
      </c>
      <c r="F21" s="35">
        <v>1</v>
      </c>
      <c r="G21" s="67">
        <f>+E21*F21</f>
        <v>33840.000000000007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1</v>
      </c>
      <c r="G22" s="389">
        <f>+E22*F22</f>
        <v>36800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1778916.4555342165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2</v>
      </c>
      <c r="D26" s="58"/>
      <c r="E26" s="58"/>
      <c r="F26" s="59">
        <f>+MATERIALES!E60</f>
        <v>22000</v>
      </c>
      <c r="G26" s="59">
        <f>+C26*F26</f>
        <v>44000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44000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+SALARIOS!$C$48</f>
        <v>32688.566666666666</v>
      </c>
      <c r="D34" s="1020">
        <f>+SALARIOS!$D$48</f>
        <v>1.8056142176927319</v>
      </c>
      <c r="E34" s="951">
        <f>+C34*D34</f>
        <v>59022.940729330046</v>
      </c>
      <c r="F34" s="1030">
        <v>2</v>
      </c>
      <c r="G34" s="1021">
        <f>+E34*F34</f>
        <v>118045.88145866009</v>
      </c>
      <c r="H34" s="34"/>
    </row>
    <row r="35" spans="1:8">
      <c r="A35" s="1242" t="s">
        <v>1490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2</v>
      </c>
      <c r="G35" s="1021">
        <f>+E35*F35</f>
        <v>118045.88145866009</v>
      </c>
      <c r="H35" s="34"/>
    </row>
    <row r="36" spans="1:8" ht="20.25" customHeight="1">
      <c r="A36" s="1242" t="s">
        <v>1491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1.5</v>
      </c>
      <c r="G36" s="1021">
        <f>+E36*F36</f>
        <v>88534.411093995062</v>
      </c>
      <c r="H36" s="34"/>
    </row>
    <row r="37" spans="1:8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1030">
        <v>1</v>
      </c>
      <c r="G37" s="1021">
        <f t="shared" ref="G37:G40" si="1">+E37*F37</f>
        <v>59022.940729330046</v>
      </c>
      <c r="H37" s="34"/>
    </row>
    <row r="38" spans="1:8">
      <c r="A38" s="1029" t="s">
        <v>1493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1030">
        <v>1</v>
      </c>
      <c r="G38" s="1021">
        <f t="shared" si="1"/>
        <v>59022.940729330046</v>
      </c>
      <c r="H38" s="34"/>
    </row>
    <row r="39" spans="1:8">
      <c r="A39" s="1029" t="s">
        <v>1494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1030">
        <v>2</v>
      </c>
      <c r="G39" s="1021">
        <f t="shared" si="1"/>
        <v>118045.88145866009</v>
      </c>
      <c r="H39" s="34"/>
    </row>
    <row r="40" spans="1:8" ht="15" thickBot="1">
      <c r="A40" s="1242" t="s">
        <v>1496</v>
      </c>
      <c r="B40" s="1242"/>
      <c r="C40" s="1019">
        <f>+SALARIOS!$C$48</f>
        <v>32688.566666666666</v>
      </c>
      <c r="D40" s="1020">
        <f>+SALARIOS!$D$48</f>
        <v>1.8056142176927319</v>
      </c>
      <c r="E40" s="1026">
        <f t="shared" si="0"/>
        <v>59022.940729330046</v>
      </c>
      <c r="F40" s="1031">
        <v>2</v>
      </c>
      <c r="G40" s="1027">
        <f t="shared" si="1"/>
        <v>118045.88145866009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678763.81838729559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2569556.6557602417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943"/>
      <c r="C45" s="943"/>
      <c r="D45" s="943"/>
      <c r="E45" s="944"/>
      <c r="F45" s="944" t="s">
        <v>308</v>
      </c>
      <c r="G45" s="943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385433.49836403626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128477.83278801209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128477.83278801209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642389.16394006042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3211946</v>
      </c>
    </row>
  </sheetData>
  <mergeCells count="6">
    <mergeCell ref="A40:B40"/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51"/>
  <sheetViews>
    <sheetView workbookViewId="0">
      <selection activeCell="D22" sqref="D22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1753</v>
      </c>
      <c r="H7" s="23"/>
    </row>
    <row r="8" spans="1:8">
      <c r="A8" s="1235" t="s">
        <v>1412</v>
      </c>
      <c r="B8" s="1235"/>
      <c r="C8" s="1235"/>
      <c r="D8" s="1235"/>
      <c r="E8" s="1235"/>
      <c r="F8" s="24"/>
      <c r="G8" s="24" t="s">
        <v>1366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H41*10%</f>
        <v>100338.99923986109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100338.99923986109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8">
      <c r="A19" s="45" t="s">
        <v>1406</v>
      </c>
      <c r="B19" s="46"/>
      <c r="C19" s="47"/>
      <c r="D19" s="30" t="s">
        <v>1175</v>
      </c>
      <c r="E19" s="924">
        <f>+MATERIALES!E40</f>
        <v>2999.9999999999995</v>
      </c>
      <c r="F19" s="30">
        <v>111</v>
      </c>
      <c r="G19" s="485">
        <f>+E19*F19</f>
        <v>332999.99999999994</v>
      </c>
      <c r="H19" s="21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59">
        <v>43.809734172082763</v>
      </c>
      <c r="G20" s="67">
        <f>+E20*F20</f>
        <v>71103.198561290337</v>
      </c>
      <c r="H20" s="21"/>
    </row>
    <row r="21" spans="1:8">
      <c r="A21" s="45" t="s">
        <v>1369</v>
      </c>
      <c r="B21" s="46"/>
      <c r="C21" s="47"/>
      <c r="D21" s="35" t="s">
        <v>1370</v>
      </c>
      <c r="E21" s="925">
        <f>+MATERIALES!E58</f>
        <v>33840.000000000007</v>
      </c>
      <c r="F21" s="35">
        <v>2</v>
      </c>
      <c r="G21" s="67">
        <f>+E21*F21</f>
        <v>67680.000000000015</v>
      </c>
      <c r="H21" s="21"/>
    </row>
    <row r="22" spans="1:8" ht="15" thickBot="1">
      <c r="A22" s="51" t="s">
        <v>1371</v>
      </c>
      <c r="B22" s="52"/>
      <c r="C22" s="53"/>
      <c r="D22" s="38" t="s">
        <v>1235</v>
      </c>
      <c r="E22" s="926">
        <f>+MATERIALES!E59</f>
        <v>36800</v>
      </c>
      <c r="F22" s="38">
        <v>1.839130434782609</v>
      </c>
      <c r="G22" s="389">
        <f>+E22*F22</f>
        <v>67680.000000000015</v>
      </c>
      <c r="H22" s="387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539463.19856129028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 t="s">
        <v>1387</v>
      </c>
      <c r="B26" s="46"/>
      <c r="C26" s="950">
        <v>4</v>
      </c>
      <c r="D26" s="58"/>
      <c r="E26" s="58"/>
      <c r="F26" s="59">
        <f>+MATERIALES!E60</f>
        <v>22000</v>
      </c>
      <c r="G26" s="59">
        <f>+C26*F26</f>
        <v>88000</v>
      </c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88000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+SALARIOS!$C$48</f>
        <v>32688.566666666666</v>
      </c>
      <c r="D34" s="1020">
        <f>+SALARIOS!$D$48</f>
        <v>1.8056142176927319</v>
      </c>
      <c r="E34" s="951">
        <f>+C34*D34</f>
        <v>59022.940729330046</v>
      </c>
      <c r="F34" s="1030">
        <v>5</v>
      </c>
      <c r="G34" s="1021">
        <f>+E34*F34</f>
        <v>295114.70364665025</v>
      </c>
      <c r="H34" s="34"/>
    </row>
    <row r="35" spans="1:8">
      <c r="A35" s="1242" t="s">
        <v>1490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2</v>
      </c>
      <c r="G35" s="1021">
        <f>+E35*F35</f>
        <v>118045.88145866009</v>
      </c>
      <c r="H35" s="34"/>
    </row>
    <row r="36" spans="1:8" ht="20.25" customHeight="1">
      <c r="A36" s="1242" t="s">
        <v>1491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2</v>
      </c>
      <c r="G36" s="1021">
        <f>+E36*F36</f>
        <v>118045.88145866009</v>
      </c>
      <c r="H36" s="34"/>
    </row>
    <row r="37" spans="1:8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:E40" si="0">+C37*D37</f>
        <v>59022.940729330046</v>
      </c>
      <c r="F37" s="1030">
        <v>1</v>
      </c>
      <c r="G37" s="1021">
        <f t="shared" ref="G37:G40" si="1">+E37*F37</f>
        <v>59022.940729330046</v>
      </c>
      <c r="H37" s="34"/>
    </row>
    <row r="38" spans="1:8">
      <c r="A38" s="1029" t="s">
        <v>1493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si="0"/>
        <v>59022.940729330046</v>
      </c>
      <c r="F38" s="1030">
        <v>2</v>
      </c>
      <c r="G38" s="1021">
        <f t="shared" si="1"/>
        <v>118045.88145866009</v>
      </c>
      <c r="H38" s="34"/>
    </row>
    <row r="39" spans="1:8">
      <c r="A39" s="1029" t="s">
        <v>1494</v>
      </c>
      <c r="B39" s="446"/>
      <c r="C39" s="1019">
        <f>+SALARIOS!$C$48</f>
        <v>32688.566666666666</v>
      </c>
      <c r="D39" s="1020">
        <f>+SALARIOS!$D$48</f>
        <v>1.8056142176927319</v>
      </c>
      <c r="E39" s="951">
        <f t="shared" si="0"/>
        <v>59022.940729330046</v>
      </c>
      <c r="F39" s="1030">
        <v>3</v>
      </c>
      <c r="G39" s="1021">
        <f t="shared" si="1"/>
        <v>177068.82218799012</v>
      </c>
      <c r="H39" s="34"/>
    </row>
    <row r="40" spans="1:8" ht="15" thickBot="1">
      <c r="A40" s="1242" t="s">
        <v>1496</v>
      </c>
      <c r="B40" s="1242"/>
      <c r="C40" s="1019">
        <f>+SALARIOS!$C$48</f>
        <v>32688.566666666666</v>
      </c>
      <c r="D40" s="1020">
        <f>+SALARIOS!$D$48</f>
        <v>1.8056142176927319</v>
      </c>
      <c r="E40" s="1026">
        <f t="shared" si="0"/>
        <v>59022.940729330046</v>
      </c>
      <c r="F40" s="1031">
        <v>2</v>
      </c>
      <c r="G40" s="1027">
        <f t="shared" si="1"/>
        <v>118045.88145866009</v>
      </c>
      <c r="H40" s="34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SUM(G34:G40)</f>
        <v>1003389.9923986108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43" t="s">
        <v>306</v>
      </c>
      <c r="F43" s="69"/>
      <c r="G43" s="69"/>
      <c r="H43" s="44">
        <f>H16+H23+H31+H41</f>
        <v>1731192.1901997621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192" t="s">
        <v>283</v>
      </c>
      <c r="B45" s="943"/>
      <c r="C45" s="943"/>
      <c r="D45" s="943"/>
      <c r="E45" s="944"/>
      <c r="F45" s="944" t="s">
        <v>308</v>
      </c>
      <c r="G45" s="943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+SALARIOS!C43</f>
        <v>0.15</v>
      </c>
      <c r="G46" s="78">
        <f>++F46*H43</f>
        <v>259678.82852996432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+SALARIOS!C44</f>
        <v>0.05</v>
      </c>
      <c r="G47" s="78">
        <f>+F47*H43</f>
        <v>86559.609509988106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+SALARIOS!C45</f>
        <v>0.05</v>
      </c>
      <c r="G48" s="81">
        <f>+F48*H43</f>
        <v>86559.609509988106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432798.04754994053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43" t="s">
        <v>313</v>
      </c>
      <c r="E51" s="69"/>
      <c r="F51" s="69"/>
      <c r="G51" s="69"/>
      <c r="H51" s="44">
        <f>ROUND((H43+H49),0)</f>
        <v>2163990</v>
      </c>
    </row>
  </sheetData>
  <mergeCells count="6">
    <mergeCell ref="A40:B40"/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9"/>
  <sheetViews>
    <sheetView topLeftCell="A19" workbookViewId="0">
      <selection activeCell="G8" sqref="G8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1754</v>
      </c>
      <c r="H7" s="23"/>
    </row>
    <row r="8" spans="1:8">
      <c r="A8" s="1235" t="s">
        <v>1408</v>
      </c>
      <c r="B8" s="1235"/>
      <c r="C8" s="1235"/>
      <c r="D8" s="1235"/>
      <c r="E8" s="1235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H39*10%</f>
        <v>2268.0436286518811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2268.0436286518811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943" t="s">
        <v>287</v>
      </c>
      <c r="H18" s="955"/>
    </row>
    <row r="19" spans="1:8">
      <c r="A19" s="45" t="s">
        <v>1406</v>
      </c>
      <c r="B19" s="46"/>
      <c r="C19" s="47"/>
      <c r="D19" s="30" t="s">
        <v>1175</v>
      </c>
      <c r="E19" s="924">
        <f>+MATERIALES!E40</f>
        <v>2999.9999999999995</v>
      </c>
      <c r="F19" s="30">
        <v>1</v>
      </c>
      <c r="G19" s="50">
        <f>+E19*F19</f>
        <v>2999.9999999999995</v>
      </c>
      <c r="H19" s="79"/>
    </row>
    <row r="20" spans="1:8">
      <c r="A20" s="45" t="s">
        <v>1368</v>
      </c>
      <c r="B20" s="46"/>
      <c r="C20" s="47"/>
      <c r="D20" s="30" t="s">
        <v>1235</v>
      </c>
      <c r="E20" s="924">
        <f>+MATERIALES!E57</f>
        <v>1623.0000000000002</v>
      </c>
      <c r="F20" s="59">
        <v>5.0030807147267709E-3</v>
      </c>
      <c r="G20" s="33">
        <f>+E20*F20</f>
        <v>8.12000000000155</v>
      </c>
      <c r="H20" s="79"/>
    </row>
    <row r="21" spans="1:8">
      <c r="A21" s="45" t="s">
        <v>1369</v>
      </c>
      <c r="B21" s="46"/>
      <c r="C21" s="47"/>
      <c r="D21" s="35" t="s">
        <v>1373</v>
      </c>
      <c r="E21" s="925">
        <f>+MATERIALES!E58</f>
        <v>33840.000000000007</v>
      </c>
      <c r="F21" s="434">
        <v>5.171394799054374E-3</v>
      </c>
      <c r="G21" s="33">
        <f>+E21*F21</f>
        <v>175.00000000000006</v>
      </c>
      <c r="H21" s="79"/>
    </row>
    <row r="22" spans="1:8">
      <c r="A22" s="547" t="s">
        <v>1371</v>
      </c>
      <c r="B22" s="20"/>
      <c r="C22" s="20"/>
      <c r="D22" s="30" t="s">
        <v>1235</v>
      </c>
      <c r="E22" s="924">
        <f>+MATERIALES!E59</f>
        <v>36800</v>
      </c>
      <c r="F22" s="416">
        <v>8.15217391304357E-4</v>
      </c>
      <c r="G22" s="33">
        <f>+E22*F22</f>
        <v>30.000000000000338</v>
      </c>
      <c r="H22" s="79"/>
    </row>
    <row r="23" spans="1:8" ht="15" thickBot="1">
      <c r="A23" s="62" t="s">
        <v>1497</v>
      </c>
      <c r="B23" s="68"/>
      <c r="C23" s="63"/>
      <c r="D23" s="38" t="s">
        <v>1498</v>
      </c>
      <c r="E23" s="926">
        <v>50000</v>
      </c>
      <c r="F23" s="38">
        <v>1</v>
      </c>
      <c r="G23" s="41">
        <f>+E23*F23</f>
        <v>50000</v>
      </c>
      <c r="H23" s="956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82">
        <f>SUM(G19:G23)</f>
        <v>53213.120000000003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930" t="s">
        <v>295</v>
      </c>
      <c r="B26" s="932"/>
      <c r="C26" s="55" t="s">
        <v>296</v>
      </c>
      <c r="D26" s="932" t="s">
        <v>297</v>
      </c>
      <c r="E26" s="932" t="s">
        <v>298</v>
      </c>
      <c r="F26" s="932" t="s">
        <v>299</v>
      </c>
      <c r="G26" s="56" t="s">
        <v>287</v>
      </c>
      <c r="H26" s="29"/>
    </row>
    <row r="27" spans="1:8">
      <c r="A27" s="45"/>
      <c r="B27" s="46"/>
      <c r="C27" s="950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SUM(G27:G31)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930" t="s">
        <v>301</v>
      </c>
      <c r="B34" s="932"/>
      <c r="C34" s="932" t="s">
        <v>302</v>
      </c>
      <c r="D34" s="932" t="s">
        <v>303</v>
      </c>
      <c r="E34" s="85" t="s">
        <v>304</v>
      </c>
      <c r="F34" s="64" t="s">
        <v>286</v>
      </c>
      <c r="G34" s="931" t="s">
        <v>287</v>
      </c>
      <c r="H34" s="29"/>
    </row>
    <row r="35" spans="1:8">
      <c r="A35" s="1242" t="s">
        <v>1489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0.1</v>
      </c>
      <c r="G35" s="1021">
        <f>+E35*F35</f>
        <v>5902.2940729330048</v>
      </c>
      <c r="H35" s="34"/>
    </row>
    <row r="36" spans="1:8">
      <c r="A36" s="1242" t="s">
        <v>1490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0.1</v>
      </c>
      <c r="G36" s="1021">
        <f>+E36*F36</f>
        <v>5902.2940729330048</v>
      </c>
      <c r="H36" s="34"/>
    </row>
    <row r="37" spans="1:8" ht="19.5" customHeight="1">
      <c r="A37" s="1242" t="s">
        <v>1491</v>
      </c>
      <c r="B37" s="1242"/>
      <c r="C37" s="1019">
        <f>+SALARIOS!$C$48</f>
        <v>32688.566666666666</v>
      </c>
      <c r="D37" s="1020">
        <f>+SALARIOS!$D$48</f>
        <v>1.8056142176927319</v>
      </c>
      <c r="E37" s="951">
        <f>+C37*D37</f>
        <v>59022.940729330046</v>
      </c>
      <c r="F37" s="1030">
        <v>0.1</v>
      </c>
      <c r="G37" s="1021">
        <f>+E37*F37</f>
        <v>5902.2940729330048</v>
      </c>
      <c r="H37" s="34"/>
    </row>
    <row r="38" spans="1:8" ht="15" thickBot="1">
      <c r="A38" s="1029" t="s">
        <v>1492</v>
      </c>
      <c r="B38" s="446"/>
      <c r="C38" s="1019">
        <f>+SALARIOS!$C$48</f>
        <v>32688.566666666666</v>
      </c>
      <c r="D38" s="1020">
        <f>+SALARIOS!$D$48</f>
        <v>1.8056142176927319</v>
      </c>
      <c r="E38" s="951">
        <f t="shared" ref="E38" si="0">+C38*D38</f>
        <v>59022.940729330046</v>
      </c>
      <c r="F38" s="1032">
        <v>8.4264762247745956E-2</v>
      </c>
      <c r="G38" s="1021">
        <f t="shared" ref="G38" si="1">+E38*F38</f>
        <v>4973.5540677197978</v>
      </c>
      <c r="H38" s="34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22680.436286518812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H16+H24+H32+H39</f>
        <v>78161.599915170693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943"/>
      <c r="C43" s="943"/>
      <c r="D43" s="943"/>
      <c r="E43" s="944"/>
      <c r="F43" s="944" t="s">
        <v>308</v>
      </c>
      <c r="G43" s="943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11724.239987275603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3908.079995758535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3908.079995758535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19540.399978792673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97702</v>
      </c>
    </row>
  </sheetData>
  <mergeCells count="5">
    <mergeCell ref="A35:B35"/>
    <mergeCell ref="A36:B36"/>
    <mergeCell ref="A37:B37"/>
    <mergeCell ref="A3:C4"/>
    <mergeCell ref="A8:E8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cols>
    <col min="7" max="7" width="12.44140625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40</v>
      </c>
      <c r="B7" s="24"/>
      <c r="C7" s="23"/>
      <c r="D7" s="2"/>
      <c r="E7" s="24"/>
      <c r="F7" s="2"/>
      <c r="G7" s="24" t="s">
        <v>1755</v>
      </c>
      <c r="H7" s="23"/>
    </row>
    <row r="8" spans="1:8">
      <c r="A8" s="1235" t="s">
        <v>1413</v>
      </c>
      <c r="B8" s="1235"/>
      <c r="C8" s="1235"/>
      <c r="D8" s="1235"/>
      <c r="E8" s="1235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8">
      <c r="A12" s="537" t="s">
        <v>834</v>
      </c>
      <c r="B12" s="135"/>
      <c r="C12" s="133"/>
      <c r="D12" s="133"/>
      <c r="E12" s="132"/>
      <c r="F12" s="31"/>
      <c r="G12" s="538">
        <f>H38*10%</f>
        <v>2218.6717117595254</v>
      </c>
      <c r="H12" s="21"/>
    </row>
    <row r="13" spans="1:8">
      <c r="A13" s="539"/>
      <c r="B13" s="124"/>
      <c r="C13" s="125"/>
      <c r="D13" s="126"/>
      <c r="E13" s="126"/>
      <c r="F13" s="126"/>
      <c r="G13" s="540"/>
      <c r="H13" s="21"/>
    </row>
    <row r="14" spans="1:8">
      <c r="A14" s="936"/>
      <c r="B14" s="937"/>
      <c r="C14" s="938"/>
      <c r="D14" s="35"/>
      <c r="E14" s="36"/>
      <c r="F14" s="31"/>
      <c r="G14" s="67"/>
      <c r="H14" s="21"/>
    </row>
    <row r="15" spans="1:8" ht="15" thickBot="1">
      <c r="A15" s="939"/>
      <c r="B15" s="940"/>
      <c r="C15" s="941"/>
      <c r="D15" s="38"/>
      <c r="E15" s="39"/>
      <c r="F15" s="40"/>
      <c r="G15" s="389"/>
      <c r="H15" s="387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2218.6717117595254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943" t="s">
        <v>287</v>
      </c>
      <c r="H18" s="955"/>
    </row>
    <row r="19" spans="1:8">
      <c r="A19" s="45" t="s">
        <v>1368</v>
      </c>
      <c r="B19" s="46"/>
      <c r="C19" s="47"/>
      <c r="D19" s="30" t="s">
        <v>1235</v>
      </c>
      <c r="E19" s="924">
        <f>+MATERIALES!E57</f>
        <v>1623.0000000000002</v>
      </c>
      <c r="F19" s="59">
        <v>5.0030807147267709E-3</v>
      </c>
      <c r="G19" s="33">
        <f>+E19*F19</f>
        <v>8.12000000000155</v>
      </c>
      <c r="H19" s="79"/>
    </row>
    <row r="20" spans="1:8">
      <c r="A20" s="45" t="s">
        <v>1369</v>
      </c>
      <c r="B20" s="46"/>
      <c r="C20" s="47"/>
      <c r="D20" s="35" t="s">
        <v>1373</v>
      </c>
      <c r="E20" s="925">
        <f>+MATERIALES!E58</f>
        <v>33840.000000000007</v>
      </c>
      <c r="F20" s="434">
        <v>5.171394799054374E-3</v>
      </c>
      <c r="G20" s="33">
        <f>+E20*F20</f>
        <v>175.00000000000006</v>
      </c>
      <c r="H20" s="79"/>
    </row>
    <row r="21" spans="1:8">
      <c r="A21" s="547" t="s">
        <v>1371</v>
      </c>
      <c r="B21" s="20"/>
      <c r="C21" s="20"/>
      <c r="D21" s="30" t="s">
        <v>1235</v>
      </c>
      <c r="E21" s="924">
        <f>+MATERIALES!E59</f>
        <v>36800</v>
      </c>
      <c r="F21" s="416">
        <v>8.15217391304357E-4</v>
      </c>
      <c r="G21" s="33">
        <f>+E21*F21</f>
        <v>30.000000000000338</v>
      </c>
      <c r="H21" s="79"/>
    </row>
    <row r="22" spans="1:8" ht="15" thickBot="1">
      <c r="A22" s="62"/>
      <c r="B22" s="68"/>
      <c r="C22" s="63"/>
      <c r="D22" s="38"/>
      <c r="E22" s="926"/>
      <c r="F22" s="38"/>
      <c r="G22" s="41"/>
      <c r="H22" s="956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82">
        <f>SUM(G19:G21)</f>
        <v>213.12000000000194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930" t="s">
        <v>295</v>
      </c>
      <c r="B25" s="932"/>
      <c r="C25" s="55" t="s">
        <v>296</v>
      </c>
      <c r="D25" s="932" t="s">
        <v>297</v>
      </c>
      <c r="E25" s="932" t="s">
        <v>298</v>
      </c>
      <c r="F25" s="932" t="s">
        <v>299</v>
      </c>
      <c r="G25" s="56" t="s">
        <v>287</v>
      </c>
      <c r="H25" s="29"/>
    </row>
    <row r="26" spans="1:8">
      <c r="A26" s="45"/>
      <c r="B26" s="46"/>
      <c r="C26" s="957"/>
      <c r="D26" s="58"/>
      <c r="E26" s="58"/>
      <c r="F26" s="59"/>
      <c r="G26" s="59"/>
      <c r="H26" s="34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SUM(G26:G30)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30" t="s">
        <v>301</v>
      </c>
      <c r="B33" s="932"/>
      <c r="C33" s="932" t="s">
        <v>302</v>
      </c>
      <c r="D33" s="932" t="s">
        <v>303</v>
      </c>
      <c r="E33" s="85" t="s">
        <v>304</v>
      </c>
      <c r="F33" s="64" t="s">
        <v>286</v>
      </c>
      <c r="G33" s="931" t="s">
        <v>287</v>
      </c>
      <c r="H33" s="29"/>
    </row>
    <row r="34" spans="1:8">
      <c r="A34" s="1242" t="s">
        <v>1489</v>
      </c>
      <c r="B34" s="1242"/>
      <c r="C34" s="1019">
        <f>+SALARIOS!$C$48</f>
        <v>32688.566666666666</v>
      </c>
      <c r="D34" s="1020">
        <f>+SALARIOS!$D$48</f>
        <v>1.8056142176927319</v>
      </c>
      <c r="E34" s="951">
        <f>+C34*D34</f>
        <v>59022.940729330046</v>
      </c>
      <c r="F34" s="1032">
        <v>9.1635130970724177E-2</v>
      </c>
      <c r="G34" s="1021">
        <f>+E34*F34</f>
        <v>5408.5749040094488</v>
      </c>
      <c r="H34" s="34"/>
    </row>
    <row r="35" spans="1:8">
      <c r="A35" s="1242" t="s">
        <v>1490</v>
      </c>
      <c r="B35" s="1242"/>
      <c r="C35" s="1019">
        <f>+SALARIOS!$C$48</f>
        <v>32688.566666666666</v>
      </c>
      <c r="D35" s="1020">
        <f>+SALARIOS!$D$48</f>
        <v>1.8056142176927319</v>
      </c>
      <c r="E35" s="951">
        <f>+C35*D35</f>
        <v>59022.940729330046</v>
      </c>
      <c r="F35" s="1030">
        <v>0.1</v>
      </c>
      <c r="G35" s="1021">
        <f>+E35*F35</f>
        <v>5902.2940729330048</v>
      </c>
      <c r="H35" s="34"/>
    </row>
    <row r="36" spans="1:8" ht="21" customHeight="1">
      <c r="A36" s="1242" t="s">
        <v>1491</v>
      </c>
      <c r="B36" s="1242"/>
      <c r="C36" s="1019">
        <f>+SALARIOS!$C$48</f>
        <v>32688.566666666666</v>
      </c>
      <c r="D36" s="1020">
        <f>+SALARIOS!$D$48</f>
        <v>1.8056142176927319</v>
      </c>
      <c r="E36" s="951">
        <f>+C36*D36</f>
        <v>59022.940729330046</v>
      </c>
      <c r="F36" s="1030">
        <v>0.1</v>
      </c>
      <c r="G36" s="1021">
        <f>+E36*F36</f>
        <v>5902.2940729330048</v>
      </c>
      <c r="H36" s="34"/>
    </row>
    <row r="37" spans="1:8" ht="15" thickBot="1">
      <c r="A37" s="1029" t="s">
        <v>1492</v>
      </c>
      <c r="B37" s="446"/>
      <c r="C37" s="1019">
        <f>+SALARIOS!$C$48</f>
        <v>32688.566666666666</v>
      </c>
      <c r="D37" s="1020">
        <f>+SALARIOS!$D$48</f>
        <v>1.8056142176927319</v>
      </c>
      <c r="E37" s="951">
        <f t="shared" ref="E37" si="0">+C37*D37</f>
        <v>59022.940729330046</v>
      </c>
      <c r="F37" s="1032">
        <v>8.4264762247745956E-2</v>
      </c>
      <c r="G37" s="1021">
        <f t="shared" ref="G37" si="1">+E37*F37</f>
        <v>4973.5540677197978</v>
      </c>
      <c r="H37" s="34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22186.717117595254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H16+H23+H31+H38</f>
        <v>24618.508829354781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43"/>
      <c r="C42" s="943"/>
      <c r="D42" s="943"/>
      <c r="E42" s="944"/>
      <c r="F42" s="944" t="s">
        <v>308</v>
      </c>
      <c r="G42" s="943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3692.7763244032171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1230.9254414677391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1230.9254414677391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6154.6272073386954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30773</v>
      </c>
    </row>
  </sheetData>
  <mergeCells count="5">
    <mergeCell ref="A3:C4"/>
    <mergeCell ref="A8:E8"/>
    <mergeCell ref="A34:B34"/>
    <mergeCell ref="A35:B35"/>
    <mergeCell ref="A36:B36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749992370372631"/>
  </sheetPr>
  <dimension ref="A2:M326"/>
  <sheetViews>
    <sheetView zoomScaleNormal="100" workbookViewId="0">
      <selection activeCell="G8" sqref="G8"/>
    </sheetView>
  </sheetViews>
  <sheetFormatPr baseColWidth="10" defaultRowHeight="14.4"/>
  <cols>
    <col min="7" max="7" width="12.44140625" bestFit="1" customWidth="1"/>
  </cols>
  <sheetData>
    <row r="2" spans="1:12" ht="15" thickBot="1"/>
    <row r="3" spans="1:12">
      <c r="A3" s="1197" t="s">
        <v>317</v>
      </c>
      <c r="B3" s="1198"/>
      <c r="C3" s="1199"/>
      <c r="D3" s="17"/>
      <c r="E3" s="18"/>
      <c r="F3" s="17"/>
      <c r="G3" s="17"/>
      <c r="H3" s="19"/>
    </row>
    <row r="4" spans="1:12">
      <c r="A4" s="1200"/>
      <c r="B4" s="1201"/>
      <c r="C4" s="1202"/>
      <c r="D4" s="20"/>
      <c r="E4" s="13" t="s">
        <v>281</v>
      </c>
      <c r="F4" s="20"/>
      <c r="G4" s="20"/>
      <c r="H4" s="21"/>
    </row>
    <row r="5" spans="1:12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12">
      <c r="A6" s="22"/>
      <c r="B6" s="23"/>
      <c r="C6" s="23"/>
      <c r="D6" s="23"/>
      <c r="E6" s="23"/>
      <c r="F6" s="23"/>
      <c r="G6" s="23"/>
      <c r="H6" s="23"/>
    </row>
    <row r="7" spans="1:12">
      <c r="A7" s="22" t="s">
        <v>40</v>
      </c>
      <c r="B7" s="24"/>
      <c r="C7" s="23"/>
      <c r="D7" s="2"/>
      <c r="E7" s="24"/>
      <c r="F7" s="2"/>
      <c r="G7" s="24" t="s">
        <v>1756</v>
      </c>
      <c r="H7" s="23"/>
    </row>
    <row r="8" spans="1:12" ht="15" customHeight="1">
      <c r="A8" s="510" t="s">
        <v>1715</v>
      </c>
      <c r="B8" s="510"/>
      <c r="C8" s="510"/>
      <c r="D8" s="510"/>
      <c r="E8" s="510"/>
      <c r="F8" s="510"/>
      <c r="G8" s="1063" t="s">
        <v>1251</v>
      </c>
      <c r="H8" s="23"/>
    </row>
    <row r="9" spans="1:12">
      <c r="A9" s="24"/>
      <c r="B9" s="24"/>
      <c r="C9" s="23"/>
      <c r="D9" s="24"/>
      <c r="E9" s="24"/>
      <c r="F9" s="24"/>
      <c r="G9" s="24"/>
      <c r="H9" s="23"/>
    </row>
    <row r="10" spans="1:12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12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56" t="s">
        <v>287</v>
      </c>
      <c r="H11" s="484"/>
    </row>
    <row r="12" spans="1:12">
      <c r="A12" s="537" t="s">
        <v>834</v>
      </c>
      <c r="B12" s="135"/>
      <c r="C12" s="133"/>
      <c r="D12" s="133"/>
      <c r="E12" s="132"/>
      <c r="F12" s="31"/>
      <c r="G12" s="538">
        <f>H44*10%</f>
        <v>209.5314395891217</v>
      </c>
      <c r="H12" s="21"/>
    </row>
    <row r="13" spans="1:12">
      <c r="A13" s="539"/>
      <c r="B13" s="124"/>
      <c r="C13" s="125"/>
      <c r="D13" s="126"/>
      <c r="E13" s="126"/>
      <c r="F13" s="126"/>
      <c r="G13" s="540"/>
      <c r="H13" s="21"/>
      <c r="L13" s="807"/>
    </row>
    <row r="14" spans="1:12">
      <c r="A14" s="936"/>
      <c r="B14" s="937"/>
      <c r="C14" s="938"/>
      <c r="D14" s="35"/>
      <c r="E14" s="36"/>
      <c r="F14" s="31"/>
      <c r="G14" s="67"/>
      <c r="H14" s="21"/>
      <c r="L14" s="807"/>
    </row>
    <row r="15" spans="1:12" ht="15" thickBot="1">
      <c r="A15" s="939"/>
      <c r="B15" s="940"/>
      <c r="C15" s="941"/>
      <c r="D15" s="38"/>
      <c r="E15" s="39"/>
      <c r="F15" s="40"/>
      <c r="G15" s="389"/>
      <c r="H15" s="387"/>
      <c r="L15" s="807"/>
    </row>
    <row r="16" spans="1:12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SUM(G12:G15)</f>
        <v>209.5314395891217</v>
      </c>
    </row>
    <row r="17" spans="1:13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13">
      <c r="A18" s="942" t="s">
        <v>283</v>
      </c>
      <c r="B18" s="943"/>
      <c r="C18" s="944"/>
      <c r="D18" s="944" t="s">
        <v>291</v>
      </c>
      <c r="E18" s="944" t="s">
        <v>292</v>
      </c>
      <c r="F18" s="944" t="s">
        <v>293</v>
      </c>
      <c r="G18" s="388" t="s">
        <v>287</v>
      </c>
      <c r="H18" s="484"/>
    </row>
    <row r="19" spans="1:13">
      <c r="A19" s="45" t="s">
        <v>1499</v>
      </c>
      <c r="B19" s="46"/>
      <c r="C19" s="47"/>
      <c r="D19" s="30" t="s">
        <v>1171</v>
      </c>
      <c r="E19" s="924">
        <f>+MATERIALES!E6</f>
        <v>525.61904761904759</v>
      </c>
      <c r="F19" s="59">
        <v>4.1280000000000001</v>
      </c>
      <c r="G19" s="485">
        <f>+E19*F19</f>
        <v>2169.7554285714286</v>
      </c>
      <c r="H19" s="21"/>
      <c r="K19" s="813"/>
    </row>
    <row r="20" spans="1:13">
      <c r="A20" s="45" t="s">
        <v>1414</v>
      </c>
      <c r="B20" s="46"/>
      <c r="C20" s="47"/>
      <c r="D20" s="30" t="s">
        <v>1235</v>
      </c>
      <c r="E20" s="924">
        <f>+MATERIALES!E24</f>
        <v>6033.333333333333</v>
      </c>
      <c r="F20" s="59">
        <v>1.4999999999999999E-2</v>
      </c>
      <c r="G20" s="67">
        <f>+E20*F20</f>
        <v>90.499999999999986</v>
      </c>
      <c r="H20" s="21"/>
      <c r="K20" s="391"/>
      <c r="L20" s="391"/>
      <c r="M20" s="391"/>
    </row>
    <row r="21" spans="1:13">
      <c r="A21" s="45" t="s">
        <v>1512</v>
      </c>
      <c r="B21" s="46"/>
      <c r="C21" s="47"/>
      <c r="D21" s="35" t="s">
        <v>1175</v>
      </c>
      <c r="E21" s="925">
        <f>+MATERIALES!E41</f>
        <v>17500.000000000025</v>
      </c>
      <c r="F21" s="113">
        <v>0.4</v>
      </c>
      <c r="G21" s="67">
        <f>+E21*F21</f>
        <v>7000.0000000000109</v>
      </c>
      <c r="H21" s="21"/>
      <c r="K21" s="391"/>
      <c r="L21" s="391"/>
      <c r="M21" s="391"/>
    </row>
    <row r="22" spans="1:13">
      <c r="A22" s="86" t="s">
        <v>1501</v>
      </c>
      <c r="B22" s="46"/>
      <c r="C22" s="47"/>
      <c r="D22" s="35" t="s">
        <v>1175</v>
      </c>
      <c r="E22" s="925">
        <f>+MATERIALES!E41</f>
        <v>17500.000000000025</v>
      </c>
      <c r="F22" s="434">
        <v>3.4000000000000002E-2</v>
      </c>
      <c r="G22" s="67">
        <f>+E22*F22</f>
        <v>595.00000000000091</v>
      </c>
      <c r="H22" s="21"/>
    </row>
    <row r="23" spans="1:13">
      <c r="A23" s="86" t="s">
        <v>1508</v>
      </c>
      <c r="B23" s="46"/>
      <c r="C23" s="47"/>
      <c r="D23" s="35" t="s">
        <v>1507</v>
      </c>
      <c r="E23" s="925">
        <f>+MATERIALES!E39</f>
        <v>59434.533333333326</v>
      </c>
      <c r="F23" s="434">
        <v>1.4999999999999999E-2</v>
      </c>
      <c r="G23" s="67">
        <f t="shared" ref="G23:G24" si="0">+E23*F23</f>
        <v>891.5179999999998</v>
      </c>
      <c r="H23" s="21"/>
    </row>
    <row r="24" spans="1:13">
      <c r="A24" s="20" t="s">
        <v>1509</v>
      </c>
      <c r="B24" s="20"/>
      <c r="C24" s="548"/>
      <c r="D24" s="35" t="s">
        <v>1507</v>
      </c>
      <c r="E24" s="925">
        <v>20584</v>
      </c>
      <c r="F24" s="434">
        <f>+F23/2</f>
        <v>7.4999999999999997E-3</v>
      </c>
      <c r="G24" s="67">
        <f t="shared" si="0"/>
        <v>154.38</v>
      </c>
      <c r="H24" s="21"/>
    </row>
    <row r="25" spans="1:13" ht="15" thickBot="1">
      <c r="A25" s="86" t="s">
        <v>963</v>
      </c>
      <c r="B25" s="46"/>
      <c r="C25" s="47"/>
      <c r="D25" s="38" t="s">
        <v>1235</v>
      </c>
      <c r="E25" s="926">
        <f>+MATERIALES!E7</f>
        <v>4166.666666666667</v>
      </c>
      <c r="F25" s="170">
        <v>0.03</v>
      </c>
      <c r="G25" s="389">
        <f>+E25*F25</f>
        <v>125</v>
      </c>
      <c r="H25" s="387"/>
    </row>
    <row r="26" spans="1:13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SUM(G19:G25)</f>
        <v>11026.153428571439</v>
      </c>
    </row>
    <row r="27" spans="1:13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3">
      <c r="A28" s="930" t="s">
        <v>295</v>
      </c>
      <c r="B28" s="932"/>
      <c r="C28" s="55" t="s">
        <v>296</v>
      </c>
      <c r="D28" s="932" t="s">
        <v>297</v>
      </c>
      <c r="E28" s="932" t="s">
        <v>298</v>
      </c>
      <c r="F28" s="932" t="s">
        <v>299</v>
      </c>
      <c r="G28" s="56" t="s">
        <v>287</v>
      </c>
      <c r="H28" s="29"/>
    </row>
    <row r="29" spans="1:13">
      <c r="A29" s="45" t="s">
        <v>1506</v>
      </c>
      <c r="B29" s="46"/>
      <c r="C29" s="434">
        <v>2.5000000000000001E-2</v>
      </c>
      <c r="D29" s="58"/>
      <c r="E29" s="58"/>
      <c r="F29" s="59">
        <f>+'EQUIPOS '!D19</f>
        <v>57709</v>
      </c>
      <c r="G29" s="59">
        <f>+C29*F29</f>
        <v>1442.7250000000001</v>
      </c>
      <c r="H29" s="34"/>
    </row>
    <row r="30" spans="1:13">
      <c r="A30" s="45" t="s">
        <v>1387</v>
      </c>
      <c r="B30" s="46"/>
      <c r="C30" s="434">
        <v>0.05</v>
      </c>
      <c r="D30" s="58"/>
      <c r="E30" s="58"/>
      <c r="F30" s="59">
        <f>+MATERIALES!E60</f>
        <v>22000</v>
      </c>
      <c r="G30" s="59">
        <f>+C30*F30</f>
        <v>1100</v>
      </c>
      <c r="H30" s="34"/>
    </row>
    <row r="31" spans="1:13">
      <c r="A31" s="45"/>
      <c r="B31" s="46"/>
      <c r="C31" s="57"/>
      <c r="D31" s="58"/>
      <c r="E31" s="58"/>
      <c r="F31" s="59"/>
      <c r="G31" s="59"/>
      <c r="H31" s="34"/>
    </row>
    <row r="32" spans="1:13">
      <c r="A32" s="45"/>
      <c r="B32" s="46"/>
      <c r="C32" s="60"/>
      <c r="D32" s="30"/>
      <c r="E32" s="58"/>
      <c r="F32" s="59"/>
      <c r="G32" s="59"/>
      <c r="H32" s="34"/>
    </row>
    <row r="33" spans="1:8" ht="15" thickBot="1">
      <c r="A33" s="62"/>
      <c r="B33" s="63"/>
      <c r="C33" s="38"/>
      <c r="D33" s="38"/>
      <c r="E33" s="170"/>
      <c r="F33" s="171"/>
      <c r="G33" s="38"/>
      <c r="H33" s="34"/>
    </row>
    <row r="34" spans="1:8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2542.7250000000004</v>
      </c>
    </row>
    <row r="35" spans="1:8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8">
      <c r="A36" s="930" t="s">
        <v>301</v>
      </c>
      <c r="B36" s="932"/>
      <c r="C36" s="932" t="s">
        <v>302</v>
      </c>
      <c r="D36" s="932" t="s">
        <v>303</v>
      </c>
      <c r="E36" s="85" t="s">
        <v>304</v>
      </c>
      <c r="F36" s="64" t="s">
        <v>286</v>
      </c>
      <c r="G36" s="931" t="s">
        <v>287</v>
      </c>
      <c r="H36" s="29"/>
    </row>
    <row r="37" spans="1:8">
      <c r="A37" s="1035" t="s">
        <v>1511</v>
      </c>
      <c r="B37" s="435"/>
      <c r="C37" s="1019">
        <f>+SALARIOS!$C$48</f>
        <v>32688.566666666666</v>
      </c>
      <c r="D37" s="1020">
        <f>+SALARIOS!$D$48</f>
        <v>1.8056142176927319</v>
      </c>
      <c r="E37" s="951">
        <f>+C37*D37</f>
        <v>59022.940729330046</v>
      </c>
      <c r="F37" s="1030">
        <f>2/1000</f>
        <v>2E-3</v>
      </c>
      <c r="G37" s="1021">
        <f>+E37*F37</f>
        <v>118.04588145866009</v>
      </c>
      <c r="H37" s="34"/>
    </row>
    <row r="38" spans="1:8">
      <c r="A38" s="1242" t="s">
        <v>1502</v>
      </c>
      <c r="B38" s="1242"/>
      <c r="C38" s="1019">
        <f>+SALARIOS!$C$48</f>
        <v>32688.566666666666</v>
      </c>
      <c r="D38" s="1020">
        <f>+SALARIOS!$D$48</f>
        <v>1.8056142176927319</v>
      </c>
      <c r="E38" s="951">
        <f>+C38*D38</f>
        <v>59022.940729330046</v>
      </c>
      <c r="F38" s="1030">
        <f>4/1000</f>
        <v>4.0000000000000001E-3</v>
      </c>
      <c r="G38" s="1021">
        <f>+E38*F38</f>
        <v>236.09176291732018</v>
      </c>
      <c r="H38" s="34"/>
    </row>
    <row r="39" spans="1:8">
      <c r="A39" s="1242" t="s">
        <v>1490</v>
      </c>
      <c r="B39" s="1242"/>
      <c r="C39" s="1019">
        <f>+SALARIOS!$C$48</f>
        <v>32688.566666666666</v>
      </c>
      <c r="D39" s="1020">
        <f>+SALARIOS!$D$48</f>
        <v>1.8056142176927319</v>
      </c>
      <c r="E39" s="951">
        <f>+C39*D39</f>
        <v>59022.940729330046</v>
      </c>
      <c r="F39" s="1062">
        <f>8.5/1000</f>
        <v>8.5000000000000006E-3</v>
      </c>
      <c r="G39" s="1021">
        <f>+E39*F39</f>
        <v>501.69499619930542</v>
      </c>
      <c r="H39" s="34"/>
    </row>
    <row r="40" spans="1:8">
      <c r="A40" s="1038" t="s">
        <v>1510</v>
      </c>
      <c r="B40" s="480"/>
      <c r="C40" s="1019">
        <f>+SALARIOS!$C$48</f>
        <v>32688.566666666666</v>
      </c>
      <c r="D40" s="1020">
        <f>+SALARIOS!$D$48</f>
        <v>1.8056142176927319</v>
      </c>
      <c r="E40" s="951">
        <f t="shared" ref="E40:E43" si="1">+C40*D40</f>
        <v>59022.940729330046</v>
      </c>
      <c r="F40" s="1030">
        <f>3/1000</f>
        <v>3.0000000000000001E-3</v>
      </c>
      <c r="G40" s="1021">
        <f t="shared" ref="G40:G43" si="2">+E40*F40</f>
        <v>177.06882218799015</v>
      </c>
      <c r="H40" s="34"/>
    </row>
    <row r="41" spans="1:8">
      <c r="A41" s="1040" t="s">
        <v>1503</v>
      </c>
      <c r="B41" s="1036"/>
      <c r="C41" s="1019">
        <f>+SALARIOS!$C$48</f>
        <v>32688.566666666666</v>
      </c>
      <c r="D41" s="1020">
        <f>+SALARIOS!$D$48</f>
        <v>1.8056142176927319</v>
      </c>
      <c r="E41" s="951">
        <f t="shared" si="1"/>
        <v>59022.940729330046</v>
      </c>
      <c r="F41" s="1030">
        <f>6/1000</f>
        <v>6.0000000000000001E-3</v>
      </c>
      <c r="G41" s="1021">
        <f t="shared" si="2"/>
        <v>354.1376443759803</v>
      </c>
      <c r="H41" s="34"/>
    </row>
    <row r="42" spans="1:8">
      <c r="A42" s="1039" t="s">
        <v>1504</v>
      </c>
      <c r="B42" s="952"/>
      <c r="C42" s="1019">
        <f>+SALARIOS!$C$48</f>
        <v>32688.566666666666</v>
      </c>
      <c r="D42" s="1020">
        <f>+SALARIOS!$D$48</f>
        <v>1.8056142176927319</v>
      </c>
      <c r="E42" s="951">
        <f t="shared" si="1"/>
        <v>59022.940729330046</v>
      </c>
      <c r="F42" s="1030">
        <f>6/1000</f>
        <v>6.0000000000000001E-3</v>
      </c>
      <c r="G42" s="1021">
        <f t="shared" si="2"/>
        <v>354.1376443759803</v>
      </c>
      <c r="H42" s="34"/>
    </row>
    <row r="43" spans="1:8" ht="15" thickBot="1">
      <c r="A43" s="1242" t="s">
        <v>1505</v>
      </c>
      <c r="B43" s="1242"/>
      <c r="C43" s="1019">
        <f>+SALARIOS!$C$48</f>
        <v>32688.566666666666</v>
      </c>
      <c r="D43" s="1020">
        <f>+SALARIOS!$D$48</f>
        <v>1.8056142176927319</v>
      </c>
      <c r="E43" s="1026">
        <f t="shared" si="1"/>
        <v>59022.940729330046</v>
      </c>
      <c r="F43" s="1031">
        <f>6/1000</f>
        <v>6.0000000000000001E-3</v>
      </c>
      <c r="G43" s="1027">
        <f t="shared" si="2"/>
        <v>354.1376443759803</v>
      </c>
      <c r="H43" s="34"/>
    </row>
    <row r="44" spans="1:8" ht="15" thickBot="1">
      <c r="A44" s="23"/>
      <c r="B44" s="23"/>
      <c r="C44" s="23"/>
      <c r="D44" s="23"/>
      <c r="E44" s="23"/>
      <c r="F44" s="69"/>
      <c r="G44" s="43" t="s">
        <v>289</v>
      </c>
      <c r="H44" s="44">
        <f>SUM(G37:G43)</f>
        <v>2095.3143958912169</v>
      </c>
    </row>
    <row r="45" spans="1:8" ht="15" thickBot="1">
      <c r="A45" s="23"/>
      <c r="B45" s="23"/>
      <c r="C45" s="23"/>
      <c r="D45" s="23"/>
      <c r="E45" s="23"/>
      <c r="F45" s="23"/>
      <c r="G45" s="69"/>
      <c r="H45" s="20"/>
    </row>
    <row r="46" spans="1:8" ht="15" thickBot="1">
      <c r="A46" s="23"/>
      <c r="B46" s="23"/>
      <c r="C46" s="23"/>
      <c r="D46" s="23"/>
      <c r="E46" s="43" t="s">
        <v>306</v>
      </c>
      <c r="F46" s="69"/>
      <c r="G46" s="69"/>
      <c r="H46" s="44">
        <f>H16+H26+H34+H44</f>
        <v>15873.724264051778</v>
      </c>
    </row>
    <row r="47" spans="1:8" ht="15" thickBot="1">
      <c r="A47" s="25" t="s">
        <v>307</v>
      </c>
      <c r="B47" s="25"/>
      <c r="C47" s="23"/>
      <c r="D47" s="23"/>
      <c r="E47" s="23"/>
      <c r="F47" s="23"/>
      <c r="G47" s="23"/>
      <c r="H47" s="23"/>
    </row>
    <row r="48" spans="1:8">
      <c r="A48" s="192" t="s">
        <v>283</v>
      </c>
      <c r="B48" s="943"/>
      <c r="C48" s="943"/>
      <c r="D48" s="943"/>
      <c r="E48" s="944"/>
      <c r="F48" s="944" t="s">
        <v>308</v>
      </c>
      <c r="G48" s="943" t="s">
        <v>309</v>
      </c>
      <c r="H48" s="29"/>
    </row>
    <row r="49" spans="1:8">
      <c r="A49" s="45" t="s">
        <v>310</v>
      </c>
      <c r="B49" s="46"/>
      <c r="C49" s="46"/>
      <c r="D49" s="46"/>
      <c r="E49" s="47"/>
      <c r="F49" s="77">
        <f>+SALARIOS!C43</f>
        <v>0.15</v>
      </c>
      <c r="G49" s="78">
        <f>++F49*H46</f>
        <v>2381.0586396077665</v>
      </c>
      <c r="H49" s="79"/>
    </row>
    <row r="50" spans="1:8">
      <c r="A50" s="45" t="s">
        <v>311</v>
      </c>
      <c r="B50" s="46"/>
      <c r="C50" s="46"/>
      <c r="D50" s="46"/>
      <c r="E50" s="47"/>
      <c r="F50" s="77">
        <f>+SALARIOS!C44</f>
        <v>0.05</v>
      </c>
      <c r="G50" s="78">
        <f>+F50*H46</f>
        <v>793.68621320258899</v>
      </c>
      <c r="H50" s="79"/>
    </row>
    <row r="51" spans="1:8" ht="15" thickBot="1">
      <c r="A51" s="51" t="s">
        <v>312</v>
      </c>
      <c r="B51" s="52"/>
      <c r="C51" s="52"/>
      <c r="D51" s="52"/>
      <c r="E51" s="53"/>
      <c r="F51" s="80">
        <f>+SALARIOS!C45</f>
        <v>0.05</v>
      </c>
      <c r="G51" s="81">
        <f>+F51*H46</f>
        <v>793.68621320258899</v>
      </c>
      <c r="H51" s="42"/>
    </row>
    <row r="52" spans="1:8" ht="15" thickBot="1">
      <c r="A52" s="23"/>
      <c r="B52" s="23"/>
      <c r="C52" s="23"/>
      <c r="D52" s="23"/>
      <c r="E52" s="23"/>
      <c r="F52" s="23"/>
      <c r="G52" s="43" t="s">
        <v>289</v>
      </c>
      <c r="H52" s="82">
        <f>SUM(G49:G51)</f>
        <v>3968.4310660129445</v>
      </c>
    </row>
    <row r="53" spans="1:8" ht="15" thickBot="1">
      <c r="A53" s="23"/>
      <c r="B53" s="23"/>
      <c r="C53" s="23"/>
      <c r="D53" s="23"/>
      <c r="E53" s="23"/>
      <c r="F53" s="23"/>
      <c r="G53" s="23"/>
      <c r="H53" s="23"/>
    </row>
    <row r="54" spans="1:8" ht="15" thickBot="1">
      <c r="A54" s="2"/>
      <c r="B54" s="2"/>
      <c r="C54" s="23"/>
      <c r="D54" s="43" t="s">
        <v>313</v>
      </c>
      <c r="E54" s="69"/>
      <c r="F54" s="69"/>
      <c r="G54" s="69"/>
      <c r="H54" s="44">
        <f>ROUND((H46+H52),0)</f>
        <v>19842</v>
      </c>
    </row>
    <row r="315" spans="1:5">
      <c r="A315" t="s">
        <v>1500</v>
      </c>
      <c r="B315" s="1034"/>
      <c r="C315" s="1034"/>
      <c r="D315" s="1034"/>
      <c r="E315" s="1034"/>
    </row>
    <row r="316" spans="1:5">
      <c r="A316" t="s">
        <v>1500</v>
      </c>
      <c r="B316" s="1034"/>
      <c r="C316" s="1034"/>
      <c r="D316" s="1034"/>
      <c r="E316" s="1034"/>
    </row>
    <row r="317" spans="1:5">
      <c r="A317" t="s">
        <v>1500</v>
      </c>
      <c r="B317" s="1034"/>
      <c r="C317" s="1034"/>
      <c r="D317" s="1034"/>
      <c r="E317" s="1034"/>
    </row>
    <row r="318" spans="1:5">
      <c r="A318" t="s">
        <v>1500</v>
      </c>
      <c r="B318" s="1034"/>
      <c r="C318" s="1034"/>
      <c r="D318" s="1034"/>
      <c r="E318" s="1034"/>
    </row>
    <row r="319" spans="1:5">
      <c r="A319" t="s">
        <v>1500</v>
      </c>
      <c r="B319" s="1034"/>
      <c r="C319" s="1034"/>
      <c r="D319" s="1034"/>
      <c r="E319" s="1034"/>
    </row>
    <row r="320" spans="1:5">
      <c r="A320" t="s">
        <v>1500</v>
      </c>
      <c r="B320" s="1034"/>
      <c r="C320" s="1034"/>
      <c r="D320" s="1034"/>
      <c r="E320" s="1034"/>
    </row>
    <row r="321" spans="1:5">
      <c r="A321" t="s">
        <v>1500</v>
      </c>
      <c r="B321" s="1034"/>
      <c r="C321" s="1034"/>
      <c r="D321" s="1034"/>
      <c r="E321" s="1034"/>
    </row>
    <row r="322" spans="1:5">
      <c r="A322" t="s">
        <v>1500</v>
      </c>
      <c r="B322" s="1034"/>
      <c r="C322" s="1034"/>
      <c r="D322" s="1034"/>
      <c r="E322" s="1034"/>
    </row>
    <row r="323" spans="1:5">
      <c r="A323" t="s">
        <v>1500</v>
      </c>
      <c r="B323" s="1034"/>
      <c r="C323" s="1034"/>
      <c r="D323" s="1034"/>
      <c r="E323" s="1034"/>
    </row>
    <row r="324" spans="1:5">
      <c r="A324" t="s">
        <v>1500</v>
      </c>
      <c r="B324" s="1034"/>
      <c r="C324" s="1034"/>
      <c r="D324" s="1034"/>
      <c r="E324" s="1034"/>
    </row>
    <row r="325" spans="1:5">
      <c r="A325" t="s">
        <v>1441</v>
      </c>
      <c r="B325" s="1033"/>
      <c r="C325" s="1033"/>
      <c r="D325" s="1033"/>
      <c r="E325" s="1033"/>
    </row>
    <row r="326" spans="1:5">
      <c r="A326" t="s">
        <v>1500</v>
      </c>
      <c r="B326" s="1034"/>
      <c r="C326" s="1034"/>
      <c r="D326" s="1034"/>
      <c r="E326" s="1034"/>
    </row>
  </sheetData>
  <mergeCells count="4">
    <mergeCell ref="A3:C4"/>
    <mergeCell ref="A39:B39"/>
    <mergeCell ref="A43:B43"/>
    <mergeCell ref="A38:B38"/>
  </mergeCells>
  <pageMargins left="0.7" right="0.7" top="0.75" bottom="0.75" header="0.3" footer="0.3"/>
  <pageSetup paperSize="9" scale="90" orientation="portrait" horizontalDpi="0" verticalDpi="0" r:id="rId1"/>
  <legacy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27" t="s">
        <v>318</v>
      </c>
      <c r="B5" s="928"/>
      <c r="C5" s="929"/>
      <c r="D5" s="933"/>
      <c r="E5" s="934"/>
      <c r="F5" s="934"/>
      <c r="G5" s="934"/>
      <c r="H5" s="935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788</v>
      </c>
      <c r="H7" s="23"/>
    </row>
    <row r="8" spans="1:8">
      <c r="A8" s="22" t="s">
        <v>786</v>
      </c>
      <c r="B8" s="24"/>
      <c r="C8" s="23"/>
      <c r="D8" s="24"/>
      <c r="E8" s="24"/>
      <c r="F8" s="24"/>
      <c r="G8" s="24" t="s">
        <v>349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30" t="s">
        <v>283</v>
      </c>
      <c r="B11" s="931"/>
      <c r="C11" s="932"/>
      <c r="D11" s="932" t="s">
        <v>284</v>
      </c>
      <c r="E11" s="27" t="s">
        <v>285</v>
      </c>
      <c r="F11" s="932" t="s">
        <v>286</v>
      </c>
      <c r="G11" s="931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263.51288360499842</v>
      </c>
      <c r="H12" s="34"/>
    </row>
    <row r="13" spans="1:8">
      <c r="A13" s="936"/>
      <c r="B13" s="937"/>
      <c r="C13" s="938"/>
      <c r="D13" s="35"/>
      <c r="E13" s="36"/>
      <c r="F13" s="31"/>
      <c r="G13" s="33"/>
      <c r="H13" s="34"/>
    </row>
    <row r="14" spans="1:8">
      <c r="A14" s="936"/>
      <c r="B14" s="937"/>
      <c r="C14" s="938"/>
      <c r="D14" s="35"/>
      <c r="E14" s="36"/>
      <c r="F14" s="31"/>
      <c r="G14" s="33"/>
      <c r="H14" s="34"/>
    </row>
    <row r="15" spans="1:8">
      <c r="A15" s="936"/>
      <c r="B15" s="937"/>
      <c r="C15" s="938"/>
      <c r="D15" s="35"/>
      <c r="E15" s="36"/>
      <c r="F15" s="31"/>
      <c r="G15" s="33"/>
      <c r="H15" s="34"/>
    </row>
    <row r="16" spans="1:8" ht="15" thickBot="1">
      <c r="A16" s="939"/>
      <c r="B16" s="940"/>
      <c r="C16" s="941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263.51288360499842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942" t="s">
        <v>283</v>
      </c>
      <c r="B19" s="943"/>
      <c r="C19" s="944"/>
      <c r="D19" s="944" t="s">
        <v>291</v>
      </c>
      <c r="E19" s="944" t="s">
        <v>292</v>
      </c>
      <c r="F19" s="944" t="s">
        <v>293</v>
      </c>
      <c r="G19" s="943" t="s">
        <v>287</v>
      </c>
      <c r="H19" s="29"/>
    </row>
    <row r="20" spans="1:8">
      <c r="A20" s="86" t="s">
        <v>147</v>
      </c>
      <c r="B20" s="46"/>
      <c r="C20" s="47"/>
      <c r="D20" s="100" t="s">
        <v>15</v>
      </c>
      <c r="E20" s="98">
        <f>+MATERIALES!E23</f>
        <v>9166.6666666666661</v>
      </c>
      <c r="F20" s="122">
        <v>1</v>
      </c>
      <c r="G20" s="96">
        <f>+E20*F20</f>
        <v>9166.6666666666661</v>
      </c>
      <c r="H20" s="21"/>
    </row>
    <row r="21" spans="1:8">
      <c r="A21" s="86" t="s">
        <v>1440</v>
      </c>
      <c r="B21" s="46"/>
      <c r="C21" s="47"/>
      <c r="D21" s="30" t="s">
        <v>9</v>
      </c>
      <c r="E21" s="101">
        <f>MATERIALES!E53</f>
        <v>100000</v>
      </c>
      <c r="F21" s="31">
        <v>1.6500000000000001E-2</v>
      </c>
      <c r="G21" s="31">
        <f>E21*F21</f>
        <v>1650</v>
      </c>
      <c r="H21" s="21"/>
    </row>
    <row r="22" spans="1:8">
      <c r="A22" s="87"/>
      <c r="B22" s="88"/>
      <c r="C22" s="89"/>
      <c r="D22" s="90"/>
      <c r="E22" s="91"/>
      <c r="F22" s="27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10816.666666666666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930" t="s">
        <v>295</v>
      </c>
      <c r="B26" s="932"/>
      <c r="C26" s="55" t="s">
        <v>296</v>
      </c>
      <c r="D26" s="932" t="s">
        <v>297</v>
      </c>
      <c r="E26" s="932" t="s">
        <v>298</v>
      </c>
      <c r="F26" s="932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930" t="s">
        <v>301</v>
      </c>
      <c r="B32" s="932"/>
      <c r="C32" s="932" t="s">
        <v>302</v>
      </c>
      <c r="D32" s="932" t="s">
        <v>303</v>
      </c>
      <c r="E32" s="85" t="s">
        <v>304</v>
      </c>
      <c r="F32" s="64" t="s">
        <v>286</v>
      </c>
      <c r="G32" s="931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2.23229205753596E-2</v>
      </c>
      <c r="G33" s="67">
        <f>+E33*F33</f>
        <v>2635.1288360499839</v>
      </c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2635.1288360499839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13715.308386321649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943"/>
      <c r="C41" s="943"/>
      <c r="D41" s="943"/>
      <c r="E41" s="944"/>
      <c r="F41" s="944" t="s">
        <v>308</v>
      </c>
      <c r="G41" s="943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2057.2962579482473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685.76541931608244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685.76541931608244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3428.8270965804122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17144</v>
      </c>
    </row>
  </sheetData>
  <mergeCells count="1">
    <mergeCell ref="A3:C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1757</v>
      </c>
      <c r="H7" s="23"/>
    </row>
    <row r="8" spans="1:8">
      <c r="A8" s="22" t="s">
        <v>782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272"/>
      <c r="C12" s="273"/>
      <c r="D12" s="30"/>
      <c r="E12" s="48"/>
      <c r="F12" s="120"/>
      <c r="G12" s="33">
        <f>H38*10%</f>
        <v>3767.515354479282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3767.515354479282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145</v>
      </c>
      <c r="B21" s="46"/>
      <c r="C21" s="47"/>
      <c r="D21" s="100" t="s">
        <v>1</v>
      </c>
      <c r="E21" s="98">
        <f>+MATERIALES!E50</f>
        <v>1638.8888888888887</v>
      </c>
      <c r="F21" s="122">
        <v>10</v>
      </c>
      <c r="G21" s="96">
        <f>+E21*F21</f>
        <v>16388.888888888887</v>
      </c>
      <c r="H21" s="21"/>
    </row>
    <row r="22" spans="1:8">
      <c r="A22" s="86" t="s">
        <v>967</v>
      </c>
      <c r="B22" s="46"/>
      <c r="C22" s="47"/>
      <c r="D22" s="30" t="s">
        <v>28</v>
      </c>
      <c r="E22" s="101">
        <f>+MATERIALES!E7</f>
        <v>4166.666666666667</v>
      </c>
      <c r="F22" s="31">
        <v>0.7</v>
      </c>
      <c r="G22" s="31">
        <f>+E22*F22</f>
        <v>2916.6666666666665</v>
      </c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19305.555555555555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968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0.25</v>
      </c>
      <c r="G34" s="67">
        <f>+E34*F34</f>
        <v>14755.735182332512</v>
      </c>
      <c r="H34" s="34"/>
    </row>
    <row r="35" spans="1:8">
      <c r="A35" s="45" t="s">
        <v>44</v>
      </c>
      <c r="B35" s="46"/>
      <c r="C35" s="65">
        <f>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0.25</v>
      </c>
      <c r="G35" s="67">
        <f>+E35*F35</f>
        <v>22919.418362460303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37675.153544792818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60748.22445482765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9112.2336682241476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3037.4112227413825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3037.4112227413825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15187.056113706913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75935</v>
      </c>
    </row>
  </sheetData>
  <mergeCells count="1">
    <mergeCell ref="A3:C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1758</v>
      </c>
      <c r="H7" s="23"/>
    </row>
    <row r="8" spans="1:8">
      <c r="A8" s="22" t="s">
        <v>783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272"/>
      <c r="C12" s="273"/>
      <c r="D12" s="30"/>
      <c r="E12" s="48"/>
      <c r="F12" s="120"/>
      <c r="G12" s="33">
        <f>H38*10%</f>
        <v>827.28836724921064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827.28836724921064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796</v>
      </c>
      <c r="B21" s="46"/>
      <c r="C21" s="47"/>
      <c r="D21" s="100" t="s">
        <v>1</v>
      </c>
      <c r="E21" s="98">
        <f>+MATERIALES!E50</f>
        <v>1638.8888888888887</v>
      </c>
      <c r="F21" s="122">
        <v>3</v>
      </c>
      <c r="G21" s="96">
        <f>+E21*F21</f>
        <v>4916.6666666666661</v>
      </c>
      <c r="H21" s="21"/>
    </row>
    <row r="22" spans="1:8">
      <c r="A22" s="86" t="s">
        <v>146</v>
      </c>
      <c r="B22" s="46"/>
      <c r="C22" s="47"/>
      <c r="D22" s="30" t="s">
        <v>41</v>
      </c>
      <c r="E22" s="101">
        <f>MATERIALES!E20</f>
        <v>7633.333333333333</v>
      </c>
      <c r="F22" s="31">
        <v>1</v>
      </c>
      <c r="G22" s="31">
        <f>+E22*F22</f>
        <v>7633.333333333333</v>
      </c>
      <c r="H22" s="21"/>
    </row>
    <row r="23" spans="1:8">
      <c r="A23" s="87" t="s">
        <v>969</v>
      </c>
      <c r="B23" s="88"/>
      <c r="C23" s="89"/>
      <c r="D23" s="90" t="s">
        <v>28</v>
      </c>
      <c r="E23" s="91">
        <f>MATERIALES!E7</f>
        <v>4166.666666666667</v>
      </c>
      <c r="F23" s="274">
        <v>0.6</v>
      </c>
      <c r="G23" s="31">
        <f>+E23*F23</f>
        <v>2500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15050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968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6.2501121672625892E-2</v>
      </c>
      <c r="G34" s="67">
        <f>+E34*F34</f>
        <v>3689.0000000000437</v>
      </c>
      <c r="H34" s="34"/>
    </row>
    <row r="35" spans="1:8">
      <c r="A35" s="45" t="s">
        <v>44</v>
      </c>
      <c r="B35" s="46"/>
      <c r="C35" s="65">
        <f>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0.05</v>
      </c>
      <c r="G35" s="67">
        <f>+E35*F35</f>
        <v>4583.8836724920611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8272.8836724921057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24150.172039741316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3622.5258059611974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1207.5086019870657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1207.5086019870657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6037.5430099353289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30188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9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794</v>
      </c>
      <c r="H7" s="23"/>
    </row>
    <row r="8" spans="1:8">
      <c r="A8" s="22" t="s">
        <v>784</v>
      </c>
      <c r="B8" s="24"/>
      <c r="C8" s="23"/>
      <c r="D8" s="24"/>
      <c r="E8" s="24"/>
      <c r="F8" s="24"/>
      <c r="G8" s="24" t="s">
        <v>326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272"/>
      <c r="C12" s="273"/>
      <c r="D12" s="30"/>
      <c r="E12" s="48"/>
      <c r="F12" s="120"/>
      <c r="G12" s="33">
        <f>H39*10%</f>
        <v>12583.413294510079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12583.413294510079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458" t="s">
        <v>283</v>
      </c>
      <c r="B20" s="444"/>
      <c r="C20" s="445"/>
      <c r="D20" s="446" t="s">
        <v>291</v>
      </c>
      <c r="E20" s="446" t="s">
        <v>292</v>
      </c>
      <c r="F20" s="446" t="s">
        <v>293</v>
      </c>
      <c r="G20" s="458" t="s">
        <v>287</v>
      </c>
      <c r="H20" s="29"/>
    </row>
    <row r="21" spans="1:8">
      <c r="A21" s="436" t="s">
        <v>964</v>
      </c>
      <c r="B21" s="436"/>
      <c r="C21" s="437"/>
      <c r="D21" s="437" t="s">
        <v>28</v>
      </c>
      <c r="E21" s="456">
        <f>MATERIALES!E7</f>
        <v>4166.666666666667</v>
      </c>
      <c r="F21" s="669">
        <v>1</v>
      </c>
      <c r="G21" s="457">
        <f>E21*F21</f>
        <v>4166.666666666667</v>
      </c>
      <c r="H21" s="34"/>
    </row>
    <row r="22" spans="1:8">
      <c r="A22" s="86" t="s">
        <v>1145</v>
      </c>
      <c r="B22" s="46"/>
      <c r="C22" s="47"/>
      <c r="D22" s="100" t="s">
        <v>41</v>
      </c>
      <c r="E22" s="98">
        <f>+MATERIALES!E33</f>
        <v>69667</v>
      </c>
      <c r="F22" s="122">
        <v>0.86</v>
      </c>
      <c r="G22" s="50">
        <f>+E22*F22</f>
        <v>59913.62</v>
      </c>
      <c r="H22" s="34"/>
    </row>
    <row r="23" spans="1:8">
      <c r="A23" s="86" t="s">
        <v>118</v>
      </c>
      <c r="B23" s="46"/>
      <c r="C23" s="47"/>
      <c r="D23" s="30" t="s">
        <v>9</v>
      </c>
      <c r="E23" s="101">
        <f>+MATERIALES!E37</f>
        <v>62931.333333333336</v>
      </c>
      <c r="F23" s="31">
        <v>1.03</v>
      </c>
      <c r="G23" s="33">
        <f>+E23*F23</f>
        <v>64819.273333333338</v>
      </c>
      <c r="H23" s="34"/>
    </row>
    <row r="24" spans="1:8">
      <c r="A24" s="87" t="s">
        <v>924</v>
      </c>
      <c r="B24" s="88"/>
      <c r="C24" s="89"/>
      <c r="D24" s="90" t="s">
        <v>15</v>
      </c>
      <c r="E24" s="91">
        <f>MATERIALES!E21</f>
        <v>1392</v>
      </c>
      <c r="F24" s="274">
        <v>2</v>
      </c>
      <c r="G24" s="114">
        <f>E24*F24</f>
        <v>2784</v>
      </c>
      <c r="H24" s="34"/>
    </row>
    <row r="25" spans="1:8" ht="15" thickBot="1">
      <c r="A25" s="51"/>
      <c r="B25" s="52"/>
      <c r="C25" s="53"/>
      <c r="D25" s="38"/>
      <c r="E25" s="39"/>
      <c r="F25" s="40"/>
      <c r="G25" s="41"/>
      <c r="H25" s="42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SUM(G22:G25)</f>
        <v>127516.89333333334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257" t="s">
        <v>295</v>
      </c>
      <c r="B28" s="259"/>
      <c r="C28" s="55" t="s">
        <v>296</v>
      </c>
      <c r="D28" s="259" t="s">
        <v>297</v>
      </c>
      <c r="E28" s="259" t="s">
        <v>298</v>
      </c>
      <c r="F28" s="259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59"/>
      <c r="H29" s="34"/>
    </row>
    <row r="30" spans="1:8">
      <c r="A30" s="45"/>
      <c r="B30" s="46"/>
      <c r="C30" s="60"/>
      <c r="D30" s="30"/>
      <c r="E30" s="58"/>
      <c r="F30" s="59"/>
      <c r="G30" s="59"/>
      <c r="H30" s="34"/>
    </row>
    <row r="31" spans="1:8" ht="15" thickBot="1">
      <c r="A31" s="62"/>
      <c r="B31" s="63"/>
      <c r="C31" s="38"/>
      <c r="D31" s="38"/>
      <c r="E31" s="170"/>
      <c r="F31" s="17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257" t="s">
        <v>301</v>
      </c>
      <c r="B34" s="259"/>
      <c r="C34" s="259" t="s">
        <v>302</v>
      </c>
      <c r="D34" s="259" t="s">
        <v>303</v>
      </c>
      <c r="E34" s="85" t="s">
        <v>304</v>
      </c>
      <c r="F34" s="64" t="s">
        <v>286</v>
      </c>
      <c r="G34" s="258" t="s">
        <v>287</v>
      </c>
      <c r="H34" s="29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0.6</v>
      </c>
      <c r="G35" s="67">
        <f>+E35*F35</f>
        <v>70827.528875196047</v>
      </c>
      <c r="H35" s="34"/>
    </row>
    <row r="36" spans="1:8">
      <c r="A36" s="45" t="s">
        <v>403</v>
      </c>
      <c r="B36" s="46"/>
      <c r="C36" s="65">
        <f>+SALARIOS!C49</f>
        <v>53170.636666666665</v>
      </c>
      <c r="D36" s="66">
        <f>+SALARIOS!D49</f>
        <v>1.724216206485921</v>
      </c>
      <c r="E36" s="31">
        <f>+C36*D36</f>
        <v>91677.673449841212</v>
      </c>
      <c r="F36" s="31">
        <v>0.6</v>
      </c>
      <c r="G36" s="67">
        <f>+E36*F36</f>
        <v>55006.604069904723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125834.13294510078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265934.43957294419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270"/>
      <c r="C43" s="270"/>
      <c r="D43" s="270"/>
      <c r="E43" s="271"/>
      <c r="F43" s="271" t="s">
        <v>308</v>
      </c>
      <c r="G43" s="270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39890.16593594163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13296.721978647211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13296.721978647211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66483.609893236047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332418</v>
      </c>
    </row>
  </sheetData>
  <mergeCells count="1">
    <mergeCell ref="A3:C4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1136</v>
      </c>
      <c r="H7" s="23"/>
    </row>
    <row r="8" spans="1:8">
      <c r="A8" s="22" t="s">
        <v>785</v>
      </c>
      <c r="B8" s="24"/>
      <c r="C8" s="23"/>
      <c r="D8" s="24"/>
      <c r="E8" s="24"/>
      <c r="F8" s="24"/>
      <c r="G8" s="24" t="s">
        <v>790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1048.6188275615229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1048.6188275615229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5.0000050209859204E-2</v>
      </c>
      <c r="G34" s="67">
        <f>+E34*F34</f>
        <v>5902.300000000092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5.0000050209859204E-2</v>
      </c>
      <c r="G35" s="67">
        <f>+E35*F35</f>
        <v>4583.888275615137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10486.18827561523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11534.807103176752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1730.2210654765129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576.74035515883759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576.74035515883759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2883.7017757941881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14419</v>
      </c>
    </row>
  </sheetData>
  <mergeCells count="1">
    <mergeCell ref="A3:C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N42" sqref="N4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368</v>
      </c>
      <c r="B7" s="24"/>
      <c r="C7" s="23"/>
      <c r="D7" s="2"/>
      <c r="E7" s="24"/>
      <c r="F7" s="2"/>
      <c r="G7" s="24" t="s">
        <v>365</v>
      </c>
      <c r="H7" s="23"/>
    </row>
    <row r="8" spans="1:8">
      <c r="A8" s="22" t="s">
        <v>361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2244.6876095797347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0.13</v>
      </c>
      <c r="G13" s="132">
        <f>E13*F13</f>
        <v>6653.01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8897.6976095797345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7" t="s">
        <v>302</v>
      </c>
      <c r="D33" s="117" t="s">
        <v>303</v>
      </c>
      <c r="E33" s="85" t="s">
        <v>304</v>
      </c>
      <c r="F33" s="64" t="s">
        <v>286</v>
      </c>
      <c r="G33" s="11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59">
        <v>0.1901538267869031</v>
      </c>
      <c r="G34" s="67">
        <f>E34*F34</f>
        <v>22446.876095797346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22446.876095797346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31344.573705377079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4701.6860558065619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1567.228685268854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1567.228685268854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7836.1434263442698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39181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1151</v>
      </c>
      <c r="H7" s="23"/>
    </row>
    <row r="8" spans="1:8">
      <c r="A8" s="22" t="s">
        <v>787</v>
      </c>
      <c r="B8" s="24"/>
      <c r="C8" s="23"/>
      <c r="D8" s="24"/>
      <c r="E8" s="24"/>
      <c r="F8" s="24"/>
      <c r="G8" s="24" t="s">
        <v>724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409.73301195810484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409.73301195810484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797</v>
      </c>
      <c r="B21" s="46"/>
      <c r="C21" s="47"/>
      <c r="D21" s="100" t="s">
        <v>7</v>
      </c>
      <c r="E21" s="98">
        <f>'EQUIPOS '!D11</f>
        <v>51177</v>
      </c>
      <c r="F21" s="122">
        <v>1</v>
      </c>
      <c r="G21" s="96">
        <f>+E21*F21</f>
        <v>51177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51177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+SALARIOS!D49</f>
        <v>1.724216206485921</v>
      </c>
      <c r="E34" s="31">
        <f>+C34*D34</f>
        <v>112724.31282692426</v>
      </c>
      <c r="F34" s="31">
        <v>3.6348237721103224E-2</v>
      </c>
      <c r="G34" s="67">
        <f>+E34*F34</f>
        <v>4097.3301195810482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4097.3301195810482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55684.063131539151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8352.6094697308727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2784.2031565769576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2784.2031565769576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13921.015782884788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69605</v>
      </c>
    </row>
  </sheetData>
  <mergeCells count="1">
    <mergeCell ref="A3:C4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topLeftCell="A19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1759</v>
      </c>
      <c r="H7" s="23"/>
    </row>
    <row r="8" spans="1:8">
      <c r="A8" s="22" t="s">
        <v>789</v>
      </c>
      <c r="B8" s="24"/>
      <c r="C8" s="23"/>
      <c r="D8" s="24"/>
      <c r="E8" s="24"/>
      <c r="F8" s="24"/>
      <c r="G8" s="24" t="s">
        <v>791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14168.380603716883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14168.380603716883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797</v>
      </c>
      <c r="B21" s="46"/>
      <c r="C21" s="47"/>
      <c r="D21" s="100" t="s">
        <v>7</v>
      </c>
      <c r="E21" s="98">
        <f>'EQUIPOS '!D11</f>
        <v>51177</v>
      </c>
      <c r="F21" s="122">
        <v>1</v>
      </c>
      <c r="G21" s="96">
        <f>+E21*F21</f>
        <v>51177</v>
      </c>
      <c r="H21" s="21"/>
    </row>
    <row r="22" spans="1:8">
      <c r="A22" s="86" t="s">
        <v>798</v>
      </c>
      <c r="B22" s="46"/>
      <c r="C22" s="47"/>
      <c r="D22" s="30" t="s">
        <v>2</v>
      </c>
      <c r="E22" s="101">
        <f>+MATERIALES!E13</f>
        <v>272886</v>
      </c>
      <c r="F22" s="31">
        <v>1</v>
      </c>
      <c r="G22" s="31">
        <f>+E22*F22</f>
        <v>272886</v>
      </c>
      <c r="H22" s="21"/>
    </row>
    <row r="23" spans="1:8">
      <c r="A23" s="87" t="s">
        <v>1093</v>
      </c>
      <c r="B23" s="88"/>
      <c r="C23" s="89"/>
      <c r="D23" s="90" t="s">
        <v>2</v>
      </c>
      <c r="E23" s="91">
        <v>60000</v>
      </c>
      <c r="F23" s="274">
        <v>1</v>
      </c>
      <c r="G23" s="31">
        <f>+E23*F23</f>
        <v>60000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384063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0.45499512000178893</v>
      </c>
      <c r="G34" s="67">
        <f>+E34*F34</f>
        <v>80565.45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0.66666565301319514</v>
      </c>
      <c r="G35" s="67">
        <f>+E35*F35</f>
        <v>61118.356037168851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141683.80603716883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539915.18664088566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80987.277996132849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26995.759332044283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26995.759332044283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134978.79666022141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674894</v>
      </c>
    </row>
  </sheetData>
  <mergeCells count="1">
    <mergeCell ref="A3:C4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topLeftCell="A19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1156</v>
      </c>
      <c r="H7" s="23"/>
    </row>
    <row r="8" spans="1:8">
      <c r="A8" s="22" t="s">
        <v>792</v>
      </c>
      <c r="B8" s="24"/>
      <c r="C8" s="23"/>
      <c r="D8" s="24"/>
      <c r="E8" s="24"/>
      <c r="F8" s="24"/>
      <c r="G8" s="24" t="s">
        <v>791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51139.466622850174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51139.466622850174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797</v>
      </c>
      <c r="B21" s="46"/>
      <c r="C21" s="47"/>
      <c r="D21" s="100" t="s">
        <v>7</v>
      </c>
      <c r="E21" s="98">
        <f>'EQUIPOS '!D11</f>
        <v>51177</v>
      </c>
      <c r="F21" s="122">
        <v>1</v>
      </c>
      <c r="G21" s="96">
        <f>+E21*F21</f>
        <v>51177</v>
      </c>
      <c r="H21" s="21"/>
    </row>
    <row r="22" spans="1:8">
      <c r="A22" s="86" t="s">
        <v>798</v>
      </c>
      <c r="B22" s="46"/>
      <c r="C22" s="47"/>
      <c r="D22" s="30" t="s">
        <v>2</v>
      </c>
      <c r="E22" s="101">
        <f>+MATERIALES!E13</f>
        <v>272886</v>
      </c>
      <c r="F22" s="31">
        <v>1</v>
      </c>
      <c r="G22" s="31">
        <f>+E22*F22</f>
        <v>272886</v>
      </c>
      <c r="H22" s="21"/>
    </row>
    <row r="23" spans="1:8">
      <c r="A23" s="87" t="s">
        <v>1093</v>
      </c>
      <c r="B23" s="88"/>
      <c r="C23" s="89"/>
      <c r="D23" s="90" t="s">
        <v>2</v>
      </c>
      <c r="E23" s="91">
        <v>60000</v>
      </c>
      <c r="F23" s="274">
        <v>1</v>
      </c>
      <c r="G23" s="31">
        <f>+E23*F23</f>
        <v>60000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384063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2.0492822571206739</v>
      </c>
      <c r="G34" s="67">
        <f>+E34*F34</f>
        <v>362863.99559910368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1.6201400519905458</v>
      </c>
      <c r="G35" s="67">
        <f>+E35*F35</f>
        <v>148530.67062939802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511394.66622850171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946597.13285135187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141989.56992770277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47329.856642567596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47329.856642567596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236649.283212838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1183246</v>
      </c>
    </row>
  </sheetData>
  <mergeCells count="1">
    <mergeCell ref="A3:C4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1760</v>
      </c>
      <c r="H7" s="23"/>
    </row>
    <row r="8" spans="1:8">
      <c r="A8" s="22" t="s">
        <v>793</v>
      </c>
      <c r="B8" s="24"/>
      <c r="C8" s="23"/>
      <c r="D8" s="24"/>
      <c r="E8" s="24"/>
      <c r="F8" s="24"/>
      <c r="G8" s="24" t="s">
        <v>791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66579.759104166209</v>
      </c>
      <c r="H12" s="34"/>
    </row>
    <row r="13" spans="1:8">
      <c r="D13" s="126"/>
      <c r="E13" s="126"/>
      <c r="F13" s="126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66579.759104166209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797</v>
      </c>
      <c r="B21" s="46"/>
      <c r="C21" s="47"/>
      <c r="D21" s="100" t="s">
        <v>7</v>
      </c>
      <c r="E21" s="98">
        <f>'EQUIPOS '!D11</f>
        <v>51177</v>
      </c>
      <c r="F21" s="122">
        <v>1</v>
      </c>
      <c r="G21" s="96">
        <f>+E21*F21</f>
        <v>51177</v>
      </c>
      <c r="H21" s="21"/>
    </row>
    <row r="22" spans="1:8">
      <c r="A22" s="86" t="s">
        <v>798</v>
      </c>
      <c r="B22" s="46"/>
      <c r="C22" s="47"/>
      <c r="D22" s="30" t="s">
        <v>2</v>
      </c>
      <c r="E22" s="101">
        <f>+MATERIALES!E13</f>
        <v>272886</v>
      </c>
      <c r="F22" s="31">
        <v>1</v>
      </c>
      <c r="G22" s="31">
        <f>+E22*F22</f>
        <v>272886</v>
      </c>
      <c r="H22" s="21"/>
    </row>
    <row r="23" spans="1:8">
      <c r="A23" s="87" t="s">
        <v>1093</v>
      </c>
      <c r="B23" s="88"/>
      <c r="C23" s="89"/>
      <c r="D23" s="90" t="s">
        <v>2</v>
      </c>
      <c r="E23" s="91">
        <v>60000</v>
      </c>
      <c r="F23" s="274">
        <v>1</v>
      </c>
      <c r="G23" s="31">
        <f>+E23*F23</f>
        <v>60000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384063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2.1832116234323427</v>
      </c>
      <c r="G34" s="67">
        <f>+E34*F34</f>
        <v>515438.28099772637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1.6400864505598567</v>
      </c>
      <c r="G35" s="67">
        <f>+E35*F35</f>
        <v>150359.31004393569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665797.59104166203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1116440.3501458282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167466.05252187423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55822.017507291413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55822.017507291413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279110.08753645705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1395550</v>
      </c>
    </row>
  </sheetData>
  <mergeCells count="1">
    <mergeCell ref="A3:C4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54" t="s">
        <v>318</v>
      </c>
      <c r="B5" s="255"/>
      <c r="C5" s="256"/>
      <c r="D5" s="260"/>
      <c r="E5" s="261"/>
      <c r="F5" s="261"/>
      <c r="G5" s="261"/>
      <c r="H5" s="26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1761</v>
      </c>
      <c r="H7" s="23"/>
    </row>
    <row r="8" spans="1:8">
      <c r="A8" s="22" t="s">
        <v>795</v>
      </c>
      <c r="B8" s="24"/>
      <c r="C8" s="23"/>
      <c r="D8" s="24"/>
      <c r="E8" s="24"/>
      <c r="F8" s="24"/>
      <c r="G8" s="24" t="s">
        <v>791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57" t="s">
        <v>283</v>
      </c>
      <c r="B11" s="258"/>
      <c r="C11" s="259"/>
      <c r="D11" s="259" t="s">
        <v>284</v>
      </c>
      <c r="E11" s="27" t="s">
        <v>285</v>
      </c>
      <c r="F11" s="259" t="s">
        <v>286</v>
      </c>
      <c r="G11" s="25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167801.47619737798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263"/>
      <c r="B14" s="264"/>
      <c r="C14" s="265"/>
      <c r="D14" s="35"/>
      <c r="E14" s="36"/>
      <c r="F14" s="31"/>
      <c r="G14" s="33"/>
      <c r="H14" s="34"/>
    </row>
    <row r="15" spans="1:8">
      <c r="A15" s="263"/>
      <c r="B15" s="264"/>
      <c r="C15" s="265"/>
      <c r="D15" s="35"/>
      <c r="E15" s="36"/>
      <c r="F15" s="31"/>
      <c r="G15" s="33"/>
      <c r="H15" s="34"/>
    </row>
    <row r="16" spans="1:8">
      <c r="A16" s="263"/>
      <c r="B16" s="264"/>
      <c r="C16" s="265"/>
      <c r="D16" s="35"/>
      <c r="E16" s="36"/>
      <c r="F16" s="31"/>
      <c r="G16" s="33"/>
      <c r="H16" s="34"/>
    </row>
    <row r="17" spans="1:8" ht="15" thickBot="1">
      <c r="A17" s="266"/>
      <c r="B17" s="267"/>
      <c r="C17" s="26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167801.47619737798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269" t="s">
        <v>283</v>
      </c>
      <c r="B20" s="270"/>
      <c r="C20" s="271"/>
      <c r="D20" s="271" t="s">
        <v>291</v>
      </c>
      <c r="E20" s="271" t="s">
        <v>292</v>
      </c>
      <c r="F20" s="271" t="s">
        <v>293</v>
      </c>
      <c r="G20" s="270" t="s">
        <v>287</v>
      </c>
      <c r="H20" s="29"/>
    </row>
    <row r="21" spans="1:8">
      <c r="A21" s="86" t="s">
        <v>797</v>
      </c>
      <c r="B21" s="46"/>
      <c r="C21" s="47"/>
      <c r="D21" s="100" t="s">
        <v>7</v>
      </c>
      <c r="E21" s="98">
        <f>'EQUIPOS '!D11</f>
        <v>51177</v>
      </c>
      <c r="F21" s="122">
        <v>2</v>
      </c>
      <c r="G21" s="96">
        <f>+E21*F21</f>
        <v>102354</v>
      </c>
      <c r="H21" s="21"/>
    </row>
    <row r="22" spans="1:8">
      <c r="A22" s="86" t="s">
        <v>798</v>
      </c>
      <c r="B22" s="46"/>
      <c r="C22" s="47"/>
      <c r="D22" s="30" t="s">
        <v>2</v>
      </c>
      <c r="E22" s="101">
        <f>+MATERIALES!E13</f>
        <v>272886</v>
      </c>
      <c r="F22" s="31">
        <v>1</v>
      </c>
      <c r="G22" s="31">
        <f>+E22*F22</f>
        <v>272886</v>
      </c>
      <c r="H22" s="21"/>
    </row>
    <row r="23" spans="1:8">
      <c r="A23" s="87" t="s">
        <v>1093</v>
      </c>
      <c r="B23" s="88"/>
      <c r="C23" s="89"/>
      <c r="D23" s="90" t="s">
        <v>2</v>
      </c>
      <c r="E23" s="91">
        <v>60000</v>
      </c>
      <c r="F23" s="274">
        <v>1</v>
      </c>
      <c r="G23" s="31">
        <f>+E23*F23</f>
        <v>60000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435240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57" t="s">
        <v>295</v>
      </c>
      <c r="B27" s="259"/>
      <c r="C27" s="55" t="s">
        <v>296</v>
      </c>
      <c r="D27" s="259" t="s">
        <v>297</v>
      </c>
      <c r="E27" s="259" t="s">
        <v>298</v>
      </c>
      <c r="F27" s="25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57" t="s">
        <v>301</v>
      </c>
      <c r="B33" s="259"/>
      <c r="C33" s="259" t="s">
        <v>302</v>
      </c>
      <c r="D33" s="259" t="s">
        <v>303</v>
      </c>
      <c r="E33" s="85" t="s">
        <v>304</v>
      </c>
      <c r="F33" s="64" t="s">
        <v>286</v>
      </c>
      <c r="G33" s="258" t="s">
        <v>287</v>
      </c>
      <c r="H33" s="29"/>
    </row>
    <row r="34" spans="1:8">
      <c r="A34" s="45" t="s">
        <v>437</v>
      </c>
      <c r="B34" s="46"/>
      <c r="C34" s="65">
        <f>+SALARIOS!C48*5</f>
        <v>163442.83333333331</v>
      </c>
      <c r="D34" s="66">
        <f>+SALARIOS!D48</f>
        <v>1.8056142176927319</v>
      </c>
      <c r="E34" s="31">
        <f>+C34*D34</f>
        <v>295114.70364665019</v>
      </c>
      <c r="F34" s="31">
        <v>4.2739247532938043</v>
      </c>
      <c r="G34" s="67">
        <f>+E34*F34</f>
        <v>1261298.0369763835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4.5454548453979982</v>
      </c>
      <c r="G35" s="67">
        <f>+E35*F35</f>
        <v>416716.72499739617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1678014.7619737796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2281056.2381711574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270"/>
      <c r="C42" s="270"/>
      <c r="D42" s="270"/>
      <c r="E42" s="271"/>
      <c r="F42" s="271" t="s">
        <v>308</v>
      </c>
      <c r="G42" s="27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342158.43572567363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114052.81190855788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114052.81190855788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570264.05954278936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2851320</v>
      </c>
    </row>
  </sheetData>
  <mergeCells count="1">
    <mergeCell ref="A3:C4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1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612" t="s">
        <v>318</v>
      </c>
      <c r="B5" s="613"/>
      <c r="C5" s="614"/>
      <c r="D5" s="618"/>
      <c r="E5" s="619"/>
      <c r="F5" s="619"/>
      <c r="G5" s="619"/>
      <c r="H5" s="62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1762</v>
      </c>
      <c r="H7" s="23"/>
    </row>
    <row r="8" spans="1:8">
      <c r="A8" s="22" t="s">
        <v>1166</v>
      </c>
      <c r="B8" s="24"/>
      <c r="C8" s="23"/>
      <c r="D8" s="24"/>
      <c r="E8" s="24"/>
      <c r="F8" s="24"/>
      <c r="G8" s="24" t="s">
        <v>1149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615" t="s">
        <v>283</v>
      </c>
      <c r="B11" s="616"/>
      <c r="C11" s="617"/>
      <c r="D11" s="617" t="s">
        <v>284</v>
      </c>
      <c r="E11" s="27" t="s">
        <v>285</v>
      </c>
      <c r="F11" s="617" t="s">
        <v>286</v>
      </c>
      <c r="G11" s="61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792.39294020288924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621"/>
      <c r="B14" s="622"/>
      <c r="C14" s="623"/>
      <c r="D14" s="35"/>
      <c r="E14" s="36"/>
      <c r="F14" s="31"/>
      <c r="G14" s="33"/>
      <c r="H14" s="34"/>
    </row>
    <row r="15" spans="1:8">
      <c r="A15" s="621"/>
      <c r="B15" s="622"/>
      <c r="C15" s="623"/>
      <c r="D15" s="35"/>
      <c r="E15" s="36"/>
      <c r="F15" s="31"/>
      <c r="G15" s="33"/>
      <c r="H15" s="34"/>
    </row>
    <row r="16" spans="1:8">
      <c r="A16" s="621"/>
      <c r="B16" s="622"/>
      <c r="C16" s="623"/>
      <c r="D16" s="35"/>
      <c r="E16" s="36"/>
      <c r="F16" s="31"/>
      <c r="G16" s="33"/>
      <c r="H16" s="34"/>
    </row>
    <row r="17" spans="1:8" ht="15" thickBot="1">
      <c r="A17" s="624"/>
      <c r="B17" s="625"/>
      <c r="C17" s="62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792.39294020288924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627" t="s">
        <v>283</v>
      </c>
      <c r="B20" s="628"/>
      <c r="C20" s="629"/>
      <c r="D20" s="629" t="s">
        <v>291</v>
      </c>
      <c r="E20" s="629" t="s">
        <v>292</v>
      </c>
      <c r="F20" s="629" t="s">
        <v>293</v>
      </c>
      <c r="G20" s="628" t="s">
        <v>287</v>
      </c>
      <c r="H20" s="29"/>
    </row>
    <row r="21" spans="1:8">
      <c r="A21" s="86" t="s">
        <v>1137</v>
      </c>
      <c r="B21" s="46"/>
      <c r="C21" s="47"/>
      <c r="D21" s="100" t="s">
        <v>1</v>
      </c>
      <c r="E21" s="98">
        <f>MATERIALES!E16</f>
        <v>1199.9999999999993</v>
      </c>
      <c r="F21" s="122">
        <v>3.3040000000000007</v>
      </c>
      <c r="G21" s="96">
        <f>+E21*F21</f>
        <v>3964.7999999999988</v>
      </c>
      <c r="H21" s="21"/>
    </row>
    <row r="22" spans="1:8">
      <c r="A22" s="86" t="s">
        <v>1148</v>
      </c>
      <c r="B22" s="46"/>
      <c r="C22" s="47"/>
      <c r="D22" s="30" t="s">
        <v>1</v>
      </c>
      <c r="E22" s="101">
        <f>MATERIALES!E49</f>
        <v>4666.670000000001</v>
      </c>
      <c r="F22" s="31">
        <v>0.4</v>
      </c>
      <c r="G22" s="31">
        <f>+E22*F22</f>
        <v>1866.6680000000006</v>
      </c>
      <c r="H22" s="21"/>
    </row>
    <row r="23" spans="1:8">
      <c r="A23" s="87" t="s">
        <v>1071</v>
      </c>
      <c r="B23" s="88"/>
      <c r="C23" s="89"/>
      <c r="D23" s="90" t="s">
        <v>139</v>
      </c>
      <c r="E23" s="91">
        <f>MATERIALES!E42</f>
        <v>2588.3333333333335</v>
      </c>
      <c r="F23" s="92">
        <v>0.46095238095238095</v>
      </c>
      <c r="G23" s="31">
        <f>+E23*F23</f>
        <v>1193.0984126984129</v>
      </c>
      <c r="H23" s="21"/>
    </row>
    <row r="24" spans="1:8" ht="15" thickBot="1">
      <c r="A24" s="51"/>
      <c r="B24" s="52"/>
      <c r="C24" s="53"/>
      <c r="D24" s="38"/>
      <c r="E24" s="39"/>
      <c r="F24" s="40"/>
      <c r="G24" s="3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7024.566412698412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615" t="s">
        <v>295</v>
      </c>
      <c r="B27" s="617"/>
      <c r="C27" s="55" t="s">
        <v>296</v>
      </c>
      <c r="D27" s="617" t="s">
        <v>297</v>
      </c>
      <c r="E27" s="617" t="s">
        <v>298</v>
      </c>
      <c r="F27" s="6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615" t="s">
        <v>301</v>
      </c>
      <c r="B33" s="617"/>
      <c r="C33" s="617" t="s">
        <v>302</v>
      </c>
      <c r="D33" s="617" t="s">
        <v>303</v>
      </c>
      <c r="E33" s="85" t="s">
        <v>304</v>
      </c>
      <c r="F33" s="64" t="s">
        <v>286</v>
      </c>
      <c r="G33" s="616" t="s">
        <v>287</v>
      </c>
      <c r="H33" s="29"/>
    </row>
    <row r="34" spans="1:8">
      <c r="A34" s="45" t="s">
        <v>464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5.6588941321201812E-2</v>
      </c>
      <c r="G34" s="67">
        <f>+E34*F34</f>
        <v>3340.0457295368305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0.05</v>
      </c>
      <c r="G35" s="67">
        <f>+E35*F35</f>
        <v>4583.8836724920611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7923.9294020288917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15740.888754930193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628"/>
      <c r="C42" s="628"/>
      <c r="D42" s="628"/>
      <c r="E42" s="629"/>
      <c r="F42" s="629" t="s">
        <v>308</v>
      </c>
      <c r="G42" s="62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2361.1333132395289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787.04443774650963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787.04443774650963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3935.2221887325481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19676</v>
      </c>
    </row>
    <row r="51" spans="1:1">
      <c r="A51" s="23" t="s">
        <v>1167</v>
      </c>
    </row>
  </sheetData>
  <mergeCells count="1">
    <mergeCell ref="A3:C4"/>
  </mergeCells>
  <pageMargins left="0.7" right="0.7" top="0.75" bottom="0.75" header="0.3" footer="0.3"/>
  <pageSetup paperSize="9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2"/>
  <sheetViews>
    <sheetView zoomScaleNormal="100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690" t="s">
        <v>318</v>
      </c>
      <c r="B5" s="691"/>
      <c r="C5" s="692"/>
      <c r="D5" s="678"/>
      <c r="E5" s="679"/>
      <c r="F5" s="679"/>
      <c r="G5" s="679"/>
      <c r="H5" s="6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1763</v>
      </c>
      <c r="H7" s="23"/>
    </row>
    <row r="8" spans="1:8">
      <c r="A8" s="22" t="s">
        <v>1150</v>
      </c>
      <c r="B8" s="24"/>
      <c r="C8" s="23"/>
      <c r="D8" s="24"/>
      <c r="E8" s="24"/>
      <c r="F8" s="24"/>
      <c r="G8" s="24" t="s">
        <v>1149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681" t="s">
        <v>283</v>
      </c>
      <c r="B11" s="682"/>
      <c r="C11" s="683"/>
      <c r="D11" s="683" t="s">
        <v>284</v>
      </c>
      <c r="E11" s="27" t="s">
        <v>285</v>
      </c>
      <c r="F11" s="683" t="s">
        <v>286</v>
      </c>
      <c r="G11" s="68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812.52601162518647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684"/>
      <c r="B14" s="685"/>
      <c r="C14" s="686"/>
      <c r="D14" s="35"/>
      <c r="E14" s="36"/>
      <c r="F14" s="31"/>
      <c r="G14" s="33"/>
      <c r="H14" s="34"/>
    </row>
    <row r="15" spans="1:8">
      <c r="A15" s="684"/>
      <c r="B15" s="685"/>
      <c r="C15" s="686"/>
      <c r="D15" s="35"/>
      <c r="E15" s="36"/>
      <c r="F15" s="31"/>
      <c r="G15" s="33"/>
      <c r="H15" s="34"/>
    </row>
    <row r="16" spans="1:8">
      <c r="A16" s="684"/>
      <c r="B16" s="685"/>
      <c r="C16" s="686"/>
      <c r="D16" s="35"/>
      <c r="E16" s="36"/>
      <c r="F16" s="31"/>
      <c r="G16" s="33"/>
      <c r="H16" s="34"/>
    </row>
    <row r="17" spans="1:8" ht="15" thickBot="1">
      <c r="A17" s="687"/>
      <c r="B17" s="688"/>
      <c r="C17" s="689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812.52601162518647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693" t="s">
        <v>283</v>
      </c>
      <c r="B20" s="694"/>
      <c r="C20" s="695"/>
      <c r="D20" s="695" t="s">
        <v>291</v>
      </c>
      <c r="E20" s="695" t="s">
        <v>292</v>
      </c>
      <c r="F20" s="695" t="s">
        <v>293</v>
      </c>
      <c r="G20" s="388" t="s">
        <v>287</v>
      </c>
      <c r="H20" s="484"/>
    </row>
    <row r="21" spans="1:8">
      <c r="A21" s="45" t="s">
        <v>1152</v>
      </c>
      <c r="B21" s="46"/>
      <c r="C21" s="47"/>
      <c r="D21" s="100" t="s">
        <v>1153</v>
      </c>
      <c r="E21" s="98">
        <v>75000</v>
      </c>
      <c r="F21" s="122">
        <v>0.1</v>
      </c>
      <c r="G21" s="485">
        <f>+E21*F21</f>
        <v>7500</v>
      </c>
      <c r="H21" s="21"/>
    </row>
    <row r="22" spans="1:8">
      <c r="A22" s="45" t="s">
        <v>1154</v>
      </c>
      <c r="B22" s="46"/>
      <c r="C22" s="47"/>
      <c r="D22" s="30" t="s">
        <v>1</v>
      </c>
      <c r="E22" s="101">
        <v>12500</v>
      </c>
      <c r="F22" s="31">
        <v>0.21000000000000002</v>
      </c>
      <c r="G22" s="67">
        <f>+E22*F22</f>
        <v>2625.0000000000005</v>
      </c>
      <c r="H22" s="21"/>
    </row>
    <row r="23" spans="1:8">
      <c r="A23" s="87" t="s">
        <v>1148</v>
      </c>
      <c r="B23" s="88"/>
      <c r="C23" s="89"/>
      <c r="D23" s="30" t="s">
        <v>1</v>
      </c>
      <c r="E23" s="48">
        <f>MATERIALES!E49</f>
        <v>4666.670000000001</v>
      </c>
      <c r="F23" s="32">
        <v>0.4</v>
      </c>
      <c r="G23" s="67">
        <f>+E23*F23</f>
        <v>1866.6680000000006</v>
      </c>
      <c r="H23" s="21"/>
    </row>
    <row r="24" spans="1:8" ht="15" thickBot="1">
      <c r="A24" s="51" t="s">
        <v>1071</v>
      </c>
      <c r="B24" s="52"/>
      <c r="C24" s="53"/>
      <c r="D24" s="549" t="s">
        <v>139</v>
      </c>
      <c r="E24" s="550">
        <f>MATERIALES!E42</f>
        <v>2588.3333333333335</v>
      </c>
      <c r="F24" s="551">
        <v>0.46095238095238095</v>
      </c>
      <c r="G24" s="389">
        <f>+E24*F24</f>
        <v>1193.0984126984129</v>
      </c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13184.766412698415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681" t="s">
        <v>295</v>
      </c>
      <c r="B27" s="683"/>
      <c r="C27" s="55" t="s">
        <v>296</v>
      </c>
      <c r="D27" s="683" t="s">
        <v>297</v>
      </c>
      <c r="E27" s="683" t="s">
        <v>298</v>
      </c>
      <c r="F27" s="683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681" t="s">
        <v>301</v>
      </c>
      <c r="B33" s="683"/>
      <c r="C33" s="683" t="s">
        <v>302</v>
      </c>
      <c r="D33" s="683" t="s">
        <v>303</v>
      </c>
      <c r="E33" s="85" t="s">
        <v>304</v>
      </c>
      <c r="F33" s="64" t="s">
        <v>286</v>
      </c>
      <c r="G33" s="682" t="s">
        <v>287</v>
      </c>
      <c r="H33" s="29"/>
    </row>
    <row r="34" spans="1:8">
      <c r="A34" s="45" t="s">
        <v>464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0.06</v>
      </c>
      <c r="G34" s="67">
        <f>+E34*F34</f>
        <v>3541.3764437598024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0.05</v>
      </c>
      <c r="G35" s="67">
        <f>+E35*F35</f>
        <v>4583.8836724920611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8125.260116251864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22122.552540575467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694"/>
      <c r="C42" s="694"/>
      <c r="D42" s="694"/>
      <c r="E42" s="695"/>
      <c r="F42" s="695" t="s">
        <v>308</v>
      </c>
      <c r="G42" s="694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3318.3828810863201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1106.1276270287733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1106.1276270287733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5530.6381351438667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27653</v>
      </c>
    </row>
    <row r="51" spans="1:1">
      <c r="A51" s="23" t="s">
        <v>1168</v>
      </c>
    </row>
    <row r="52" spans="1:1">
      <c r="A52" s="23" t="s">
        <v>1169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2"/>
  <sheetViews>
    <sheetView zoomScaleNormal="100" workbookViewId="0">
      <selection activeCell="K16" sqref="K1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690" t="s">
        <v>318</v>
      </c>
      <c r="B5" s="691"/>
      <c r="C5" s="692"/>
      <c r="D5" s="678"/>
      <c r="E5" s="679"/>
      <c r="F5" s="679"/>
      <c r="G5" s="679"/>
      <c r="H5" s="6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1743</v>
      </c>
      <c r="H7" s="23"/>
    </row>
    <row r="8" spans="1:8">
      <c r="A8" s="22" t="s">
        <v>1155</v>
      </c>
      <c r="B8" s="24"/>
      <c r="C8" s="23"/>
      <c r="D8" s="24"/>
      <c r="E8" s="24"/>
      <c r="F8" s="24"/>
      <c r="G8" s="24" t="s">
        <v>1149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681" t="s">
        <v>283</v>
      </c>
      <c r="B11" s="682"/>
      <c r="C11" s="683"/>
      <c r="D11" s="683" t="s">
        <v>284</v>
      </c>
      <c r="E11" s="27" t="s">
        <v>285</v>
      </c>
      <c r="F11" s="683" t="s">
        <v>286</v>
      </c>
      <c r="G11" s="68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1081.2725072630176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684"/>
      <c r="B14" s="685"/>
      <c r="C14" s="686"/>
      <c r="D14" s="35"/>
      <c r="E14" s="36"/>
      <c r="F14" s="31"/>
      <c r="G14" s="33"/>
      <c r="H14" s="34"/>
    </row>
    <row r="15" spans="1:8">
      <c r="A15" s="684"/>
      <c r="B15" s="685"/>
      <c r="C15" s="686"/>
      <c r="D15" s="35"/>
      <c r="E15" s="36"/>
      <c r="F15" s="31"/>
      <c r="G15" s="33"/>
      <c r="H15" s="34"/>
    </row>
    <row r="16" spans="1:8">
      <c r="A16" s="684"/>
      <c r="B16" s="685"/>
      <c r="C16" s="686"/>
      <c r="D16" s="35"/>
      <c r="E16" s="36"/>
      <c r="F16" s="31"/>
      <c r="G16" s="33"/>
      <c r="H16" s="34"/>
    </row>
    <row r="17" spans="1:8" ht="15" thickBot="1">
      <c r="A17" s="687"/>
      <c r="B17" s="688"/>
      <c r="C17" s="689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1081.2725072630176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693" t="s">
        <v>283</v>
      </c>
      <c r="B20" s="694"/>
      <c r="C20" s="695"/>
      <c r="D20" s="695" t="s">
        <v>291</v>
      </c>
      <c r="E20" s="695" t="s">
        <v>292</v>
      </c>
      <c r="F20" s="695" t="s">
        <v>293</v>
      </c>
      <c r="G20" s="388" t="s">
        <v>287</v>
      </c>
      <c r="H20" s="484"/>
    </row>
    <row r="21" spans="1:8">
      <c r="A21" s="45" t="s">
        <v>1152</v>
      </c>
      <c r="B21" s="46"/>
      <c r="C21" s="47"/>
      <c r="D21" s="100" t="s">
        <v>1153</v>
      </c>
      <c r="E21" s="98">
        <v>75000</v>
      </c>
      <c r="F21" s="122">
        <v>0.1</v>
      </c>
      <c r="G21" s="485">
        <f>+E21*F21</f>
        <v>7500</v>
      </c>
      <c r="H21" s="21"/>
    </row>
    <row r="22" spans="1:8">
      <c r="A22" s="45" t="s">
        <v>1154</v>
      </c>
      <c r="B22" s="46"/>
      <c r="C22" s="47"/>
      <c r="D22" s="30" t="s">
        <v>1</v>
      </c>
      <c r="E22" s="101">
        <v>12500</v>
      </c>
      <c r="F22" s="31">
        <v>0.21000000000000002</v>
      </c>
      <c r="G22" s="67">
        <f>+E22*F22</f>
        <v>2625.0000000000005</v>
      </c>
      <c r="H22" s="21"/>
    </row>
    <row r="23" spans="1:8">
      <c r="A23" s="87" t="s">
        <v>1148</v>
      </c>
      <c r="B23" s="88"/>
      <c r="C23" s="89"/>
      <c r="D23" s="30" t="s">
        <v>1</v>
      </c>
      <c r="E23" s="48">
        <f>MATERIALES!E49</f>
        <v>4666.670000000001</v>
      </c>
      <c r="F23" s="32">
        <v>0.4</v>
      </c>
      <c r="G23" s="67">
        <f>+E23*F23</f>
        <v>1866.6680000000006</v>
      </c>
      <c r="H23" s="21"/>
    </row>
    <row r="24" spans="1:8" ht="15" thickBot="1">
      <c r="A24" s="51" t="s">
        <v>1071</v>
      </c>
      <c r="B24" s="52"/>
      <c r="C24" s="53"/>
      <c r="D24" s="549" t="s">
        <v>139</v>
      </c>
      <c r="E24" s="550">
        <f>MATERIALES!E42</f>
        <v>2588.3333333333335</v>
      </c>
      <c r="F24" s="551">
        <v>0.46095238095238095</v>
      </c>
      <c r="G24" s="389">
        <f>+E24*F24</f>
        <v>1193.0984126984129</v>
      </c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13184.766412698415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681" t="s">
        <v>295</v>
      </c>
      <c r="B27" s="683"/>
      <c r="C27" s="55" t="s">
        <v>296</v>
      </c>
      <c r="D27" s="683" t="s">
        <v>297</v>
      </c>
      <c r="E27" s="683" t="s">
        <v>298</v>
      </c>
      <c r="F27" s="683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681" t="s">
        <v>301</v>
      </c>
      <c r="B33" s="683"/>
      <c r="C33" s="683" t="s">
        <v>302</v>
      </c>
      <c r="D33" s="683" t="s">
        <v>303</v>
      </c>
      <c r="E33" s="85" t="s">
        <v>304</v>
      </c>
      <c r="F33" s="64" t="s">
        <v>286</v>
      </c>
      <c r="G33" s="682" t="s">
        <v>287</v>
      </c>
      <c r="H33" s="29"/>
    </row>
    <row r="34" spans="1:8">
      <c r="A34" s="45" t="s">
        <v>464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0.09</v>
      </c>
      <c r="G34" s="67">
        <f>+E34*F34</f>
        <v>5312.0646656397039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0.06</v>
      </c>
      <c r="G35" s="67">
        <f>+E35*F35</f>
        <v>5500.6604069904724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10812.725072630175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25078.763992591608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694"/>
      <c r="C42" s="694"/>
      <c r="D42" s="694"/>
      <c r="E42" s="695"/>
      <c r="F42" s="695" t="s">
        <v>308</v>
      </c>
      <c r="G42" s="694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3761.8145988887409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1253.9381996295806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1253.9381996295806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6269.6909981479021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31348</v>
      </c>
    </row>
    <row r="51" spans="1:1">
      <c r="A51" s="23" t="s">
        <v>1168</v>
      </c>
    </row>
    <row r="52" spans="1:1">
      <c r="A52" s="23" t="s">
        <v>1169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tabSelected="1" workbookViewId="0">
      <selection activeCell="A13" sqref="A1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690" t="s">
        <v>318</v>
      </c>
      <c r="B5" s="691"/>
      <c r="C5" s="692"/>
      <c r="D5" s="678"/>
      <c r="E5" s="679"/>
      <c r="F5" s="679"/>
      <c r="G5" s="679"/>
      <c r="H5" s="68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/>
      <c r="B7" s="24"/>
      <c r="C7" s="23"/>
      <c r="D7" s="2"/>
      <c r="E7" s="24"/>
      <c r="F7" s="2"/>
      <c r="G7" s="24" t="s">
        <v>1764</v>
      </c>
      <c r="H7" s="23"/>
    </row>
    <row r="8" spans="1:8">
      <c r="A8" s="22" t="s">
        <v>1157</v>
      </c>
      <c r="B8" s="24"/>
      <c r="C8" s="23"/>
      <c r="D8" s="24"/>
      <c r="E8" s="24"/>
      <c r="F8" s="24"/>
      <c r="G8" s="24" t="s">
        <v>1149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681" t="s">
        <v>283</v>
      </c>
      <c r="B11" s="682"/>
      <c r="C11" s="683"/>
      <c r="D11" s="683" t="s">
        <v>284</v>
      </c>
      <c r="E11" s="27" t="s">
        <v>285</v>
      </c>
      <c r="F11" s="683" t="s">
        <v>286</v>
      </c>
      <c r="G11" s="68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1546.5856420696573</v>
      </c>
      <c r="H12" s="34"/>
    </row>
    <row r="13" spans="1:8">
      <c r="A13" s="134" t="s">
        <v>1158</v>
      </c>
      <c r="B13" s="135"/>
      <c r="C13" s="133"/>
      <c r="D13" s="133" t="s">
        <v>5</v>
      </c>
      <c r="E13" s="132">
        <f>+'EQUIPOS '!D14</f>
        <v>115700</v>
      </c>
      <c r="F13" s="31">
        <v>35</v>
      </c>
      <c r="G13" s="132">
        <f>E13/F13</f>
        <v>3305.7142857142858</v>
      </c>
      <c r="H13" s="34"/>
    </row>
    <row r="14" spans="1:8">
      <c r="A14" s="684"/>
      <c r="B14" s="685"/>
      <c r="C14" s="686"/>
      <c r="D14" s="35"/>
      <c r="E14" s="36"/>
      <c r="F14" s="31"/>
      <c r="G14" s="33"/>
      <c r="H14" s="34"/>
    </row>
    <row r="15" spans="1:8">
      <c r="A15" s="684"/>
      <c r="B15" s="685"/>
      <c r="C15" s="686"/>
      <c r="D15" s="35"/>
      <c r="E15" s="36"/>
      <c r="F15" s="31"/>
      <c r="G15" s="33"/>
      <c r="H15" s="34"/>
    </row>
    <row r="16" spans="1:8">
      <c r="A16" s="684"/>
      <c r="B16" s="685"/>
      <c r="C16" s="686"/>
      <c r="D16" s="35"/>
      <c r="E16" s="36"/>
      <c r="F16" s="31"/>
      <c r="G16" s="33"/>
      <c r="H16" s="34"/>
    </row>
    <row r="17" spans="1:8" ht="15" thickBot="1">
      <c r="A17" s="687"/>
      <c r="B17" s="688"/>
      <c r="C17" s="689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4852.2999277839426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693" t="s">
        <v>283</v>
      </c>
      <c r="B20" s="694"/>
      <c r="C20" s="695"/>
      <c r="D20" s="695" t="s">
        <v>291</v>
      </c>
      <c r="E20" s="695" t="s">
        <v>292</v>
      </c>
      <c r="F20" s="695" t="s">
        <v>293</v>
      </c>
      <c r="G20" s="388" t="s">
        <v>287</v>
      </c>
      <c r="H20" s="484"/>
    </row>
    <row r="21" spans="1:8">
      <c r="A21" s="45" t="s">
        <v>1159</v>
      </c>
      <c r="B21" s="46"/>
      <c r="C21" s="47"/>
      <c r="D21" s="100" t="s">
        <v>1153</v>
      </c>
      <c r="E21" s="98">
        <v>165000</v>
      </c>
      <c r="F21" s="122">
        <v>5.2499999999999991E-2</v>
      </c>
      <c r="G21" s="485">
        <f>+E21*F21</f>
        <v>8662.4999999999982</v>
      </c>
      <c r="H21" s="21"/>
    </row>
    <row r="22" spans="1:8">
      <c r="A22" s="45" t="s">
        <v>1160</v>
      </c>
      <c r="B22" s="46"/>
      <c r="C22" s="47"/>
      <c r="D22" s="30" t="s">
        <v>1161</v>
      </c>
      <c r="E22" s="101">
        <v>30900</v>
      </c>
      <c r="F22" s="31">
        <v>0.22000000000000003</v>
      </c>
      <c r="G22" s="67">
        <f>+E22*F22</f>
        <v>6798.0000000000009</v>
      </c>
      <c r="H22" s="21"/>
    </row>
    <row r="23" spans="1:8">
      <c r="A23" s="87" t="s">
        <v>1148</v>
      </c>
      <c r="B23" s="88"/>
      <c r="C23" s="89"/>
      <c r="D23" s="30" t="s">
        <v>1</v>
      </c>
      <c r="E23" s="48">
        <f>MATERIALES!E49</f>
        <v>4666.670000000001</v>
      </c>
      <c r="F23" s="31">
        <v>0.4</v>
      </c>
      <c r="G23" s="67">
        <f>+E23*F23</f>
        <v>1866.6680000000006</v>
      </c>
      <c r="H23" s="21"/>
    </row>
    <row r="24" spans="1:8" ht="15" thickBot="1">
      <c r="A24" s="51"/>
      <c r="B24" s="52"/>
      <c r="C24" s="53"/>
      <c r="D24" s="549"/>
      <c r="E24" s="550"/>
      <c r="F24" s="551"/>
      <c r="G24" s="389"/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17327.168000000001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681" t="s">
        <v>295</v>
      </c>
      <c r="B27" s="683"/>
      <c r="C27" s="55" t="s">
        <v>296</v>
      </c>
      <c r="D27" s="683" t="s">
        <v>297</v>
      </c>
      <c r="E27" s="683" t="s">
        <v>298</v>
      </c>
      <c r="F27" s="683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681" t="s">
        <v>301</v>
      </c>
      <c r="B33" s="683"/>
      <c r="C33" s="683" t="s">
        <v>302</v>
      </c>
      <c r="D33" s="683" t="s">
        <v>303</v>
      </c>
      <c r="E33" s="85" t="s">
        <v>304</v>
      </c>
      <c r="F33" s="64" t="s">
        <v>286</v>
      </c>
      <c r="G33" s="682" t="s">
        <v>287</v>
      </c>
      <c r="H33" s="29"/>
    </row>
    <row r="34" spans="1:8">
      <c r="A34" s="45" t="s">
        <v>464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0.1424276096159709</v>
      </c>
      <c r="G34" s="67">
        <f>+E34*F34</f>
        <v>8406.4963605836092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7.7001954723199734E-2</v>
      </c>
      <c r="G35" s="67">
        <f>+E35*F35</f>
        <v>7059.3600601129629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15465.856420696571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37645.324348480513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694"/>
      <c r="C42" s="694"/>
      <c r="D42" s="694"/>
      <c r="E42" s="695"/>
      <c r="F42" s="695" t="s">
        <v>308</v>
      </c>
      <c r="G42" s="694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5646.7986522720767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1882.2662174240259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1882.2662174240259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9411.3310871201284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47057</v>
      </c>
    </row>
  </sheetData>
  <mergeCells count="1">
    <mergeCell ref="A3:C4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workbookViewId="0">
      <selection activeCell="A28" sqref="A28:G2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133" t="s">
        <v>318</v>
      </c>
      <c r="B5" s="1134"/>
      <c r="C5" s="1135"/>
      <c r="D5" s="1139"/>
      <c r="E5" s="1140"/>
      <c r="F5" s="1140"/>
      <c r="G5" s="1140"/>
      <c r="H5" s="114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1721</v>
      </c>
      <c r="H7" s="23"/>
    </row>
    <row r="8" spans="1:8" ht="24" customHeight="1">
      <c r="A8" s="1235" t="s">
        <v>1723</v>
      </c>
      <c r="B8" s="1235"/>
      <c r="C8" s="1235"/>
      <c r="D8" s="1235"/>
      <c r="E8" s="1235"/>
      <c r="F8" s="1235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36" t="s">
        <v>283</v>
      </c>
      <c r="B11" s="1137"/>
      <c r="C11" s="1138"/>
      <c r="D11" s="1138" t="s">
        <v>284</v>
      </c>
      <c r="E11" s="27" t="s">
        <v>285</v>
      </c>
      <c r="F11" s="1138" t="s">
        <v>286</v>
      </c>
      <c r="G11" s="1137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183.44653781141756</v>
      </c>
      <c r="H12" s="34"/>
    </row>
    <row r="13" spans="1:8">
      <c r="D13" s="126"/>
      <c r="E13" s="126"/>
      <c r="F13" s="126"/>
      <c r="H13" s="34"/>
    </row>
    <row r="14" spans="1:8">
      <c r="A14" s="1142"/>
      <c r="B14" s="1143"/>
      <c r="C14" s="1144"/>
      <c r="D14" s="35"/>
      <c r="E14" s="36"/>
      <c r="F14" s="31"/>
      <c r="G14" s="33"/>
      <c r="H14" s="34"/>
    </row>
    <row r="15" spans="1:8">
      <c r="A15" s="1142"/>
      <c r="B15" s="1143"/>
      <c r="C15" s="1144"/>
      <c r="D15" s="35"/>
      <c r="E15" s="36"/>
      <c r="F15" s="31"/>
      <c r="G15" s="33"/>
      <c r="H15" s="34"/>
    </row>
    <row r="16" spans="1:8">
      <c r="A16" s="1142"/>
      <c r="B16" s="1143"/>
      <c r="C16" s="1144"/>
      <c r="D16" s="35"/>
      <c r="E16" s="36"/>
      <c r="F16" s="31"/>
      <c r="G16" s="33"/>
      <c r="H16" s="34"/>
    </row>
    <row r="17" spans="1:8" ht="15" thickBot="1">
      <c r="A17" s="1145"/>
      <c r="B17" s="1146"/>
      <c r="C17" s="1147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183.44653781141756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48" t="s">
        <v>283</v>
      </c>
      <c r="B20" s="1149"/>
      <c r="C20" s="1150"/>
      <c r="D20" s="1150" t="s">
        <v>291</v>
      </c>
      <c r="E20" s="1150" t="s">
        <v>292</v>
      </c>
      <c r="F20" s="1150" t="s">
        <v>293</v>
      </c>
      <c r="G20" s="388" t="s">
        <v>287</v>
      </c>
      <c r="H20" s="29"/>
    </row>
    <row r="21" spans="1:8">
      <c r="A21" s="45" t="s">
        <v>1448</v>
      </c>
      <c r="B21" s="46"/>
      <c r="C21" s="47"/>
      <c r="D21" s="30" t="s">
        <v>1171</v>
      </c>
      <c r="E21" s="924">
        <f>+MATERIALES!E32</f>
        <v>2569</v>
      </c>
      <c r="F21" s="30">
        <v>1</v>
      </c>
      <c r="G21" s="67">
        <f>E21*F21</f>
        <v>2569</v>
      </c>
      <c r="H21" s="21"/>
    </row>
    <row r="22" spans="1:8">
      <c r="A22" s="45" t="s">
        <v>1449</v>
      </c>
      <c r="B22" s="46"/>
      <c r="C22" s="47"/>
      <c r="D22" s="30" t="s">
        <v>1235</v>
      </c>
      <c r="E22" s="924">
        <f>+MATERIALES!E8</f>
        <v>6038.666666666667</v>
      </c>
      <c r="F22" s="59">
        <v>0.02</v>
      </c>
      <c r="G22" s="67">
        <f>+E22*F22</f>
        <v>120.77333333333334</v>
      </c>
      <c r="H22" s="21"/>
    </row>
    <row r="23" spans="1:8">
      <c r="A23" s="87" t="s">
        <v>1724</v>
      </c>
      <c r="B23" s="88"/>
      <c r="C23" s="89"/>
      <c r="D23" s="90" t="s">
        <v>1175</v>
      </c>
      <c r="E23" s="924">
        <f>+VLOOKUP(A23,MATERIALES!C1:E221,3,FALSE)</f>
        <v>32553.333333333332</v>
      </c>
      <c r="F23" s="1084">
        <v>1</v>
      </c>
      <c r="G23" s="67">
        <f>+E23*F23</f>
        <v>32553.333333333332</v>
      </c>
      <c r="H23" s="21"/>
    </row>
    <row r="24" spans="1:8" ht="15" thickBot="1">
      <c r="A24" s="51" t="s">
        <v>1725</v>
      </c>
      <c r="B24" s="52"/>
      <c r="C24" s="53"/>
      <c r="D24" s="38" t="s">
        <v>1171</v>
      </c>
      <c r="E24" s="1152">
        <f>+VLOOKUP(A24,MATERIALES!C2:E222,3,FALSE)</f>
        <v>54.77</v>
      </c>
      <c r="F24" s="509">
        <v>3.3</v>
      </c>
      <c r="G24" s="389">
        <f>+E24*F24</f>
        <v>180.74100000000001</v>
      </c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35423.847666666668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36" t="s">
        <v>295</v>
      </c>
      <c r="B27" s="1138"/>
      <c r="C27" s="55" t="s">
        <v>296</v>
      </c>
      <c r="D27" s="1138" t="s">
        <v>297</v>
      </c>
      <c r="E27" s="1138" t="s">
        <v>298</v>
      </c>
      <c r="F27" s="1138" t="s">
        <v>299</v>
      </c>
      <c r="G27" s="56" t="s">
        <v>287</v>
      </c>
      <c r="H27" s="29"/>
    </row>
    <row r="28" spans="1:8">
      <c r="A28" s="45" t="s">
        <v>1726</v>
      </c>
      <c r="B28" s="46"/>
      <c r="C28" s="57"/>
      <c r="D28" s="58"/>
      <c r="E28" s="58"/>
      <c r="F28" s="59"/>
      <c r="G28" s="59">
        <f>+H25*10%</f>
        <v>3542.384766666667</v>
      </c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3542.384766666667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36" t="s">
        <v>301</v>
      </c>
      <c r="B33" s="1138"/>
      <c r="C33" s="1138" t="s">
        <v>302</v>
      </c>
      <c r="D33" s="1138" t="s">
        <v>303</v>
      </c>
      <c r="E33" s="85" t="s">
        <v>304</v>
      </c>
      <c r="F33" s="64" t="s">
        <v>286</v>
      </c>
      <c r="G33" s="1137" t="s">
        <v>287</v>
      </c>
      <c r="H33" s="29"/>
    </row>
    <row r="34" spans="1:8">
      <c r="A34" s="45" t="s">
        <v>342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2">
        <v>3.1080548604427324E-2</v>
      </c>
      <c r="G34" s="67">
        <f>+E34*F34</f>
        <v>1834.4653781141756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1834.4653781141756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40984.144349258931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149"/>
      <c r="C42" s="1149"/>
      <c r="D42" s="1149"/>
      <c r="E42" s="1150"/>
      <c r="F42" s="1150" t="s">
        <v>308</v>
      </c>
      <c r="G42" s="1149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6147.6216523888397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2049.2072174629466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2049.2072174629466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10246.036087314733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51230</v>
      </c>
    </row>
  </sheetData>
  <mergeCells count="2">
    <mergeCell ref="A3:C4"/>
    <mergeCell ref="A8:F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topLeftCell="A31" workbookViewId="0">
      <selection activeCell="E15" sqref="E1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368</v>
      </c>
      <c r="B7" s="24"/>
      <c r="C7" s="23"/>
      <c r="D7" s="2"/>
      <c r="E7" s="24"/>
      <c r="F7" s="2"/>
      <c r="G7" s="24" t="s">
        <v>366</v>
      </c>
      <c r="H7" s="23"/>
    </row>
    <row r="8" spans="1:8">
      <c r="A8" s="22" t="s">
        <v>362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2733.587660318326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0.13</v>
      </c>
      <c r="G13" s="132">
        <f>E13*F13</f>
        <v>6653.01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9386.5976603183262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7" t="s">
        <v>302</v>
      </c>
      <c r="D33" s="117" t="s">
        <v>303</v>
      </c>
      <c r="E33" s="85" t="s">
        <v>304</v>
      </c>
      <c r="F33" s="64" t="s">
        <v>286</v>
      </c>
      <c r="G33" s="11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(C34*D34)</f>
        <v>118045.88145866009</v>
      </c>
      <c r="F34" s="59">
        <v>0.23156993082182487</v>
      </c>
      <c r="G34" s="67">
        <f>E34*F34</f>
        <v>27335.876603183257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27335.876603183257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36722.474263501586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5508.3711395252376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1836.1237131750795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1836.1237131750795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9180.6185658753966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45903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topLeftCell="A22" workbookViewId="0">
      <selection activeCell="F33" sqref="F3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133" t="s">
        <v>318</v>
      </c>
      <c r="B5" s="1134"/>
      <c r="C5" s="1135"/>
      <c r="D5" s="1139"/>
      <c r="E5" s="1140"/>
      <c r="F5" s="1140"/>
      <c r="G5" s="1140"/>
      <c r="H5" s="114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1720</v>
      </c>
      <c r="H7" s="23"/>
    </row>
    <row r="8" spans="1:8">
      <c r="A8" s="22" t="s">
        <v>1739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36" t="s">
        <v>283</v>
      </c>
      <c r="B11" s="1137"/>
      <c r="C11" s="1138"/>
      <c r="D11" s="1138" t="s">
        <v>284</v>
      </c>
      <c r="E11" s="27" t="s">
        <v>285</v>
      </c>
      <c r="F11" s="1138" t="s">
        <v>286</v>
      </c>
      <c r="G11" s="1137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885.34411093995061</v>
      </c>
      <c r="H12" s="34"/>
    </row>
    <row r="13" spans="1:8">
      <c r="D13" s="126"/>
      <c r="E13" s="126"/>
      <c r="F13" s="126"/>
      <c r="H13" s="34"/>
    </row>
    <row r="14" spans="1:8">
      <c r="A14" s="1142"/>
      <c r="B14" s="1143"/>
      <c r="C14" s="1144"/>
      <c r="D14" s="35"/>
      <c r="E14" s="36"/>
      <c r="F14" s="31"/>
      <c r="G14" s="33"/>
      <c r="H14" s="34"/>
    </row>
    <row r="15" spans="1:8">
      <c r="A15" s="1142"/>
      <c r="B15" s="1143"/>
      <c r="C15" s="1144"/>
      <c r="D15" s="35"/>
      <c r="E15" s="36"/>
      <c r="F15" s="31"/>
      <c r="G15" s="33"/>
      <c r="H15" s="34"/>
    </row>
    <row r="16" spans="1:8">
      <c r="A16" s="1142"/>
      <c r="B16" s="1143"/>
      <c r="C16" s="1144"/>
      <c r="D16" s="35"/>
      <c r="E16" s="36"/>
      <c r="F16" s="31"/>
      <c r="G16" s="33"/>
      <c r="H16" s="34"/>
    </row>
    <row r="17" spans="1:8" ht="15" thickBot="1">
      <c r="A17" s="1145"/>
      <c r="B17" s="1146"/>
      <c r="C17" s="1147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885.34411093995061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48" t="s">
        <v>283</v>
      </c>
      <c r="B20" s="1149"/>
      <c r="C20" s="1150"/>
      <c r="D20" s="1150" t="s">
        <v>291</v>
      </c>
      <c r="E20" s="1150" t="s">
        <v>292</v>
      </c>
      <c r="F20" s="1150" t="s">
        <v>293</v>
      </c>
      <c r="G20" s="1149" t="s">
        <v>287</v>
      </c>
      <c r="H20" s="29"/>
    </row>
    <row r="21" spans="1:8">
      <c r="A21" s="45" t="s">
        <v>1735</v>
      </c>
      <c r="B21" s="46"/>
      <c r="C21" s="47"/>
      <c r="D21" s="30" t="s">
        <v>1175</v>
      </c>
      <c r="E21" s="924">
        <f>+VLOOKUP(A21,MATERIALES!C1:E221,3,FALSE)</f>
        <v>205610</v>
      </c>
      <c r="F21" s="30">
        <v>1</v>
      </c>
      <c r="G21" s="67">
        <f>E21*F21</f>
        <v>205610</v>
      </c>
      <c r="H21" s="21"/>
    </row>
    <row r="22" spans="1:8">
      <c r="A22" s="45"/>
      <c r="B22" s="46"/>
      <c r="C22" s="47"/>
      <c r="D22" s="30"/>
      <c r="E22" s="924"/>
      <c r="F22" s="59"/>
      <c r="G22" s="67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205610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36" t="s">
        <v>295</v>
      </c>
      <c r="B27" s="1138"/>
      <c r="C27" s="55" t="s">
        <v>296</v>
      </c>
      <c r="D27" s="1138" t="s">
        <v>297</v>
      </c>
      <c r="E27" s="1138" t="s">
        <v>298</v>
      </c>
      <c r="F27" s="1138" t="s">
        <v>299</v>
      </c>
      <c r="G27" s="56" t="s">
        <v>287</v>
      </c>
      <c r="H27" s="29"/>
    </row>
    <row r="28" spans="1:8">
      <c r="A28" s="45" t="s">
        <v>1737</v>
      </c>
      <c r="B28" s="46"/>
      <c r="C28" s="57"/>
      <c r="D28" s="58"/>
      <c r="E28" s="58"/>
      <c r="F28" s="59"/>
      <c r="G28" s="59">
        <f>+H25*5%</f>
        <v>10280.5</v>
      </c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10280.5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36" t="s">
        <v>301</v>
      </c>
      <c r="B33" s="1138"/>
      <c r="C33" s="1138" t="s">
        <v>302</v>
      </c>
      <c r="D33" s="1138" t="s">
        <v>303</v>
      </c>
      <c r="E33" s="85" t="s">
        <v>304</v>
      </c>
      <c r="F33" s="64" t="s">
        <v>286</v>
      </c>
      <c r="G33" s="1137" t="s">
        <v>287</v>
      </c>
      <c r="H33" s="29"/>
    </row>
    <row r="34" spans="1:8">
      <c r="A34" s="45" t="s">
        <v>1736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0.15</v>
      </c>
      <c r="G34" s="67">
        <f>+E34*F34</f>
        <v>8853.4411093995059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8853.4411093995059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225629.28522033946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149"/>
      <c r="C42" s="1149"/>
      <c r="D42" s="1149"/>
      <c r="E42" s="1150"/>
      <c r="F42" s="1150" t="s">
        <v>308</v>
      </c>
      <c r="G42" s="1149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33844.39278305092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11281.464261016974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11281.464261016974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56407.321305084872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282037</v>
      </c>
    </row>
  </sheetData>
  <mergeCells count="1">
    <mergeCell ref="A3:C4"/>
  </mergeCell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133" t="s">
        <v>318</v>
      </c>
      <c r="B5" s="1134"/>
      <c r="C5" s="1135"/>
      <c r="D5" s="1139"/>
      <c r="E5" s="1140"/>
      <c r="F5" s="1140"/>
      <c r="G5" s="1140"/>
      <c r="H5" s="114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1719</v>
      </c>
      <c r="H7" s="23"/>
    </row>
    <row r="8" spans="1:8" ht="27.75" customHeight="1">
      <c r="A8" s="1235" t="s">
        <v>1729</v>
      </c>
      <c r="B8" s="1235"/>
      <c r="C8" s="1235"/>
      <c r="D8" s="1235"/>
      <c r="E8" s="1235"/>
      <c r="F8" s="1235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36" t="s">
        <v>283</v>
      </c>
      <c r="B11" s="1137"/>
      <c r="C11" s="1138"/>
      <c r="D11" s="1138" t="s">
        <v>284</v>
      </c>
      <c r="E11" s="27" t="s">
        <v>285</v>
      </c>
      <c r="F11" s="1138" t="s">
        <v>286</v>
      </c>
      <c r="G11" s="1137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H38*10%</f>
        <v>1180.458814586601</v>
      </c>
      <c r="H12" s="34"/>
    </row>
    <row r="13" spans="1:8">
      <c r="D13" s="126"/>
      <c r="E13" s="126"/>
      <c r="F13" s="126"/>
      <c r="H13" s="34"/>
    </row>
    <row r="14" spans="1:8">
      <c r="A14" s="1142"/>
      <c r="B14" s="1143"/>
      <c r="C14" s="1144"/>
      <c r="D14" s="35"/>
      <c r="E14" s="36"/>
      <c r="F14" s="31"/>
      <c r="G14" s="33"/>
      <c r="H14" s="34"/>
    </row>
    <row r="15" spans="1:8">
      <c r="A15" s="1142"/>
      <c r="B15" s="1143"/>
      <c r="C15" s="1144"/>
      <c r="D15" s="35"/>
      <c r="E15" s="36"/>
      <c r="F15" s="31"/>
      <c r="G15" s="33"/>
      <c r="H15" s="34"/>
    </row>
    <row r="16" spans="1:8">
      <c r="A16" s="1142"/>
      <c r="B16" s="1143"/>
      <c r="C16" s="1144"/>
      <c r="D16" s="35"/>
      <c r="E16" s="36"/>
      <c r="F16" s="31"/>
      <c r="G16" s="33"/>
      <c r="H16" s="34"/>
    </row>
    <row r="17" spans="1:8" ht="15" thickBot="1">
      <c r="A17" s="1145"/>
      <c r="B17" s="1146"/>
      <c r="C17" s="1147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1180.458814586601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48" t="s">
        <v>283</v>
      </c>
      <c r="B20" s="1149"/>
      <c r="C20" s="1150"/>
      <c r="D20" s="1150" t="s">
        <v>291</v>
      </c>
      <c r="E20" s="1150" t="s">
        <v>292</v>
      </c>
      <c r="F20" s="1150" t="s">
        <v>293</v>
      </c>
      <c r="G20" s="388" t="s">
        <v>287</v>
      </c>
      <c r="H20" s="484"/>
    </row>
    <row r="21" spans="1:8" ht="26.25" customHeight="1">
      <c r="A21" s="1206" t="s">
        <v>1727</v>
      </c>
      <c r="B21" s="1207"/>
      <c r="C21" s="1208"/>
      <c r="D21" s="30" t="s">
        <v>1171</v>
      </c>
      <c r="E21" s="924">
        <f>+VLOOKUP(A21,MATERIALES!C1:E221,3,FALSE)</f>
        <v>262810</v>
      </c>
      <c r="F21" s="115">
        <v>1</v>
      </c>
      <c r="G21" s="67">
        <f>E21*F21</f>
        <v>262810</v>
      </c>
      <c r="H21" s="21"/>
    </row>
    <row r="22" spans="1:8">
      <c r="A22" s="45" t="s">
        <v>279</v>
      </c>
      <c r="B22" s="46"/>
      <c r="C22" s="47"/>
      <c r="D22" s="30" t="s">
        <v>1427</v>
      </c>
      <c r="E22" s="924">
        <f>+VLOOKUP(A22,MATERIALES!C2:E222,3,FALSE)</f>
        <v>68</v>
      </c>
      <c r="F22" s="30">
        <v>500</v>
      </c>
      <c r="G22" s="67">
        <f>+E22*F22</f>
        <v>34000</v>
      </c>
      <c r="H22" s="21"/>
    </row>
    <row r="23" spans="1:8">
      <c r="A23" s="87"/>
      <c r="B23" s="88"/>
      <c r="C23" s="89"/>
      <c r="D23" s="90"/>
      <c r="E23" s="91"/>
      <c r="F23" s="274"/>
      <c r="G23" s="486"/>
      <c r="H23" s="21"/>
    </row>
    <row r="24" spans="1:8" ht="15" thickBot="1">
      <c r="A24" s="51"/>
      <c r="B24" s="52"/>
      <c r="C24" s="53"/>
      <c r="D24" s="38"/>
      <c r="E24" s="39"/>
      <c r="F24" s="40"/>
      <c r="G24" s="389"/>
      <c r="H24" s="387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296810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36" t="s">
        <v>295</v>
      </c>
      <c r="B27" s="1138"/>
      <c r="C27" s="55" t="s">
        <v>296</v>
      </c>
      <c r="D27" s="1138" t="s">
        <v>297</v>
      </c>
      <c r="E27" s="1138" t="s">
        <v>298</v>
      </c>
      <c r="F27" s="1138" t="s">
        <v>299</v>
      </c>
      <c r="G27" s="56" t="s">
        <v>287</v>
      </c>
      <c r="H27" s="29"/>
    </row>
    <row r="28" spans="1:8">
      <c r="A28" s="45" t="s">
        <v>1728</v>
      </c>
      <c r="B28" s="46"/>
      <c r="C28" s="57"/>
      <c r="D28" s="58"/>
      <c r="E28" s="58"/>
      <c r="F28" s="59"/>
      <c r="G28" s="59">
        <f>+H25*10%</f>
        <v>29681</v>
      </c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29681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36" t="s">
        <v>301</v>
      </c>
      <c r="B33" s="1138"/>
      <c r="C33" s="1138" t="s">
        <v>302</v>
      </c>
      <c r="D33" s="1138" t="s">
        <v>303</v>
      </c>
      <c r="E33" s="85" t="s">
        <v>304</v>
      </c>
      <c r="F33" s="64" t="s">
        <v>286</v>
      </c>
      <c r="G33" s="1137" t="s">
        <v>287</v>
      </c>
      <c r="H33" s="29"/>
    </row>
    <row r="34" spans="1:8">
      <c r="A34" s="45" t="s">
        <v>342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0.2</v>
      </c>
      <c r="G34" s="67">
        <f>+E34*F34</f>
        <v>11804.58814586601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11804.58814586601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339476.04696045263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149"/>
      <c r="C42" s="1149"/>
      <c r="D42" s="1149"/>
      <c r="E42" s="1150"/>
      <c r="F42" s="1150" t="s">
        <v>308</v>
      </c>
      <c r="G42" s="1149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50921.407044067892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16973.802348022633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16973.802348022633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84869.011740113172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424345</v>
      </c>
    </row>
  </sheetData>
  <mergeCells count="3">
    <mergeCell ref="A3:C4"/>
    <mergeCell ref="A21:C21"/>
    <mergeCell ref="A8:F8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49"/>
  <sheetViews>
    <sheetView workbookViewId="0">
      <selection activeCell="L43" sqref="L4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133" t="s">
        <v>318</v>
      </c>
      <c r="B5" s="1134"/>
      <c r="C5" s="1135"/>
      <c r="D5" s="1139"/>
      <c r="E5" s="1140"/>
      <c r="F5" s="1140"/>
      <c r="G5" s="1140"/>
      <c r="H5" s="1141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966</v>
      </c>
      <c r="B7" s="24"/>
      <c r="C7" s="23"/>
      <c r="D7" s="2"/>
      <c r="E7" s="24"/>
      <c r="F7" s="2"/>
      <c r="G7" s="24" t="s">
        <v>1718</v>
      </c>
      <c r="H7" s="23"/>
    </row>
    <row r="8" spans="1:8">
      <c r="A8" s="22" t="s">
        <v>1731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36" t="s">
        <v>283</v>
      </c>
      <c r="B11" s="1137"/>
      <c r="C11" s="1138"/>
      <c r="D11" s="1138" t="s">
        <v>284</v>
      </c>
      <c r="E11" s="27" t="s">
        <v>285</v>
      </c>
      <c r="F11" s="1138" t="s">
        <v>286</v>
      </c>
      <c r="G11" s="1137" t="s">
        <v>287</v>
      </c>
      <c r="H11" s="29"/>
    </row>
    <row r="12" spans="1:8">
      <c r="A12" s="134" t="s">
        <v>977</v>
      </c>
      <c r="B12" s="135"/>
      <c r="C12" s="133"/>
      <c r="D12" s="133"/>
      <c r="E12" s="132"/>
      <c r="F12" s="31"/>
      <c r="G12" s="132">
        <f>H39*10%</f>
        <v>6028.0245671668517</v>
      </c>
      <c r="H12" s="34"/>
    </row>
    <row r="13" spans="1:8">
      <c r="D13" s="126"/>
      <c r="E13" s="126"/>
      <c r="F13" s="126"/>
      <c r="H13" s="34"/>
    </row>
    <row r="14" spans="1:8">
      <c r="A14" s="1142"/>
      <c r="B14" s="1143"/>
      <c r="C14" s="1144"/>
      <c r="D14" s="35"/>
      <c r="E14" s="36"/>
      <c r="F14" s="31"/>
      <c r="G14" s="33"/>
      <c r="H14" s="34"/>
    </row>
    <row r="15" spans="1:8">
      <c r="A15" s="1142"/>
      <c r="B15" s="1143"/>
      <c r="C15" s="1144"/>
      <c r="D15" s="35"/>
      <c r="E15" s="36"/>
      <c r="F15" s="31"/>
      <c r="G15" s="33"/>
      <c r="H15" s="34"/>
    </row>
    <row r="16" spans="1:8">
      <c r="A16" s="1142"/>
      <c r="B16" s="1143"/>
      <c r="C16" s="1144"/>
      <c r="D16" s="35"/>
      <c r="E16" s="36"/>
      <c r="F16" s="31"/>
      <c r="G16" s="33"/>
      <c r="H16" s="34"/>
    </row>
    <row r="17" spans="1:18" ht="15" thickBot="1">
      <c r="A17" s="1145"/>
      <c r="B17" s="1146"/>
      <c r="C17" s="1147"/>
      <c r="D17" s="38"/>
      <c r="E17" s="39"/>
      <c r="F17" s="40"/>
      <c r="G17" s="41"/>
      <c r="H17" s="42"/>
    </row>
    <row r="18" spans="1:1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6028.0245671668517</v>
      </c>
    </row>
    <row r="19" spans="1:1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8">
      <c r="A20" s="1148" t="s">
        <v>283</v>
      </c>
      <c r="B20" s="1149"/>
      <c r="C20" s="1150"/>
      <c r="D20" s="1150" t="s">
        <v>291</v>
      </c>
      <c r="E20" s="1150" t="s">
        <v>292</v>
      </c>
      <c r="F20" s="1150" t="s">
        <v>293</v>
      </c>
      <c r="G20" s="388" t="s">
        <v>287</v>
      </c>
      <c r="H20" s="29"/>
    </row>
    <row r="21" spans="1:18">
      <c r="A21" s="45" t="s">
        <v>1734</v>
      </c>
      <c r="B21" s="46"/>
      <c r="C21" s="47"/>
      <c r="D21" s="30" t="s">
        <v>1171</v>
      </c>
      <c r="E21" s="924">
        <f>+VLOOKUP(A21,MATERIALES!C1:E221,3,FALSE)</f>
        <v>11613.666666666666</v>
      </c>
      <c r="F21" s="115">
        <v>7.5</v>
      </c>
      <c r="G21" s="67">
        <f>E21*F21</f>
        <v>87102.5</v>
      </c>
      <c r="H21" s="21"/>
    </row>
    <row r="22" spans="1:18">
      <c r="A22" s="45" t="s">
        <v>1740</v>
      </c>
      <c r="B22" s="46"/>
      <c r="C22" s="47"/>
      <c r="D22" s="30" t="s">
        <v>1674</v>
      </c>
      <c r="E22" s="924">
        <f>+VLOOKUP(A22,MATERIALES!C2:E222,3,FALSE)</f>
        <v>39016.666666666664</v>
      </c>
      <c r="F22" s="115">
        <v>2</v>
      </c>
      <c r="G22" s="67">
        <f>E22*F22</f>
        <v>78033.333333333328</v>
      </c>
      <c r="H22" s="21"/>
    </row>
    <row r="23" spans="1:18">
      <c r="A23" s="87" t="s">
        <v>1732</v>
      </c>
      <c r="B23" s="88"/>
      <c r="C23" s="89"/>
      <c r="D23" s="30" t="s">
        <v>1235</v>
      </c>
      <c r="E23" s="924">
        <v>6000</v>
      </c>
      <c r="F23" s="115">
        <v>0.5</v>
      </c>
      <c r="G23" s="67">
        <f>E23*F23</f>
        <v>3000</v>
      </c>
      <c r="H23" s="21"/>
      <c r="O23" s="807"/>
      <c r="P23" s="807"/>
      <c r="R23" s="807"/>
    </row>
    <row r="24" spans="1:18">
      <c r="A24" s="45" t="s">
        <v>1055</v>
      </c>
      <c r="B24" s="46"/>
      <c r="C24" s="47"/>
      <c r="D24" s="90" t="s">
        <v>1420</v>
      </c>
      <c r="E24" s="924">
        <f>+VLOOKUP(A24,MATERIALES!C4:E224,3,FALSE)</f>
        <v>59434.533333333326</v>
      </c>
      <c r="F24" s="1084">
        <v>0.2</v>
      </c>
      <c r="G24" s="67">
        <f>E24*F24</f>
        <v>11886.906666666666</v>
      </c>
      <c r="H24" s="21"/>
      <c r="O24" s="807"/>
      <c r="P24" s="807"/>
      <c r="R24" s="807"/>
    </row>
    <row r="25" spans="1:18" ht="15" thickBot="1">
      <c r="A25" s="1155" t="s">
        <v>1733</v>
      </c>
      <c r="B25" s="52"/>
      <c r="C25" s="53"/>
      <c r="D25" s="38" t="s">
        <v>1261</v>
      </c>
      <c r="E25" s="926">
        <v>100000</v>
      </c>
      <c r="F25" s="509">
        <v>1</v>
      </c>
      <c r="G25" s="389">
        <f>E25*F25</f>
        <v>100000</v>
      </c>
      <c r="H25" s="42"/>
    </row>
    <row r="26" spans="1:1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280022.74</v>
      </c>
      <c r="P26" s="1154"/>
    </row>
    <row r="27" spans="1:1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8">
      <c r="A28" s="1136" t="s">
        <v>295</v>
      </c>
      <c r="B28" s="1138"/>
      <c r="C28" s="55" t="s">
        <v>296</v>
      </c>
      <c r="D28" s="1138" t="s">
        <v>297</v>
      </c>
      <c r="E28" s="1138" t="s">
        <v>298</v>
      </c>
      <c r="F28" s="1138" t="s">
        <v>299</v>
      </c>
      <c r="G28" s="56" t="s">
        <v>287</v>
      </c>
      <c r="H28" s="29"/>
    </row>
    <row r="29" spans="1:18">
      <c r="A29" s="45" t="s">
        <v>1726</v>
      </c>
      <c r="B29" s="46"/>
      <c r="C29" s="57"/>
      <c r="D29" s="58"/>
      <c r="E29" s="58"/>
      <c r="F29" s="59"/>
      <c r="G29" s="59">
        <f>+H26*10%</f>
        <v>28002.274000000001</v>
      </c>
      <c r="H29" s="34"/>
    </row>
    <row r="30" spans="1:18">
      <c r="A30" s="45"/>
      <c r="B30" s="46"/>
      <c r="C30" s="60"/>
      <c r="D30" s="30"/>
      <c r="E30" s="58"/>
      <c r="F30" s="59"/>
      <c r="G30" s="59"/>
      <c r="H30" s="34"/>
    </row>
    <row r="31" spans="1:18" ht="15" thickBot="1">
      <c r="A31" s="62"/>
      <c r="B31" s="63"/>
      <c r="C31" s="38"/>
      <c r="D31" s="38"/>
      <c r="E31" s="170"/>
      <c r="F31" s="171"/>
      <c r="G31" s="38"/>
      <c r="H31" s="34"/>
    </row>
    <row r="32" spans="1:1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28002.274000000001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1136" t="s">
        <v>301</v>
      </c>
      <c r="B34" s="1138"/>
      <c r="C34" s="1138" t="s">
        <v>302</v>
      </c>
      <c r="D34" s="1138" t="s">
        <v>303</v>
      </c>
      <c r="E34" s="85" t="s">
        <v>304</v>
      </c>
      <c r="F34" s="64" t="s">
        <v>286</v>
      </c>
      <c r="G34" s="1137" t="s">
        <v>287</v>
      </c>
      <c r="H34" s="29"/>
    </row>
    <row r="35" spans="1:8">
      <c r="A35" s="45" t="s">
        <v>1211</v>
      </c>
      <c r="B35" s="46"/>
      <c r="C35" s="65">
        <f>+SALARIOS!C52</f>
        <v>53170.636666666665</v>
      </c>
      <c r="D35" s="66">
        <f>+SALARIOS!D52</f>
        <v>1.724216206485921</v>
      </c>
      <c r="E35" s="31">
        <f>+C35*D35</f>
        <v>91677.673449841212</v>
      </c>
      <c r="F35" s="31">
        <v>0.4</v>
      </c>
      <c r="G35" s="67">
        <f>+E35*F35</f>
        <v>36671.069379936489</v>
      </c>
      <c r="H35" s="34"/>
    </row>
    <row r="36" spans="1:8">
      <c r="A36" s="45" t="s">
        <v>1741</v>
      </c>
      <c r="B36" s="46"/>
      <c r="C36" s="65">
        <f>+SALARIOS!C48</f>
        <v>32688.566666666666</v>
      </c>
      <c r="D36" s="66">
        <f>+SALARIOS!D48</f>
        <v>1.8056142176927319</v>
      </c>
      <c r="E36" s="31">
        <f>+C36*D36</f>
        <v>59022.940729330046</v>
      </c>
      <c r="F36" s="31">
        <v>0.4</v>
      </c>
      <c r="G36" s="67">
        <f>+E36*F36</f>
        <v>23609.176291732019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60280.245671668512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43" t="s">
        <v>306</v>
      </c>
      <c r="F41" s="69"/>
      <c r="G41" s="69"/>
      <c r="H41" s="44">
        <f>H18+H26+H32+H39</f>
        <v>374333.28423883533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192" t="s">
        <v>283</v>
      </c>
      <c r="B43" s="1149"/>
      <c r="C43" s="1149"/>
      <c r="D43" s="1149"/>
      <c r="E43" s="1150"/>
      <c r="F43" s="1150" t="s">
        <v>308</v>
      </c>
      <c r="G43" s="1149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+SALARIOS!C43</f>
        <v>0.15</v>
      </c>
      <c r="G44" s="78">
        <f>++F44*H41</f>
        <v>56149.9926358253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+SALARIOS!C44</f>
        <v>0.05</v>
      </c>
      <c r="G45" s="78">
        <f>+F45*H41</f>
        <v>18716.664211941767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+SALARIOS!C45</f>
        <v>0.05</v>
      </c>
      <c r="G46" s="81">
        <f>+F46*H41</f>
        <v>18716.664211941767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93583.321059708833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43" t="s">
        <v>313</v>
      </c>
      <c r="E49" s="69"/>
      <c r="F49" s="69"/>
      <c r="G49" s="69"/>
      <c r="H49" s="44">
        <f>ROUND((H41+H47),0)</f>
        <v>467917</v>
      </c>
    </row>
  </sheetData>
  <mergeCells count="1">
    <mergeCell ref="A3:C4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87" t="s">
        <v>318</v>
      </c>
      <c r="B5" s="288"/>
      <c r="C5" s="289"/>
      <c r="D5" s="275"/>
      <c r="E5" s="276"/>
      <c r="F5" s="276"/>
      <c r="G5" s="276"/>
      <c r="H5" s="277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1765</v>
      </c>
      <c r="H7" s="23"/>
    </row>
    <row r="8" spans="1:8">
      <c r="A8" s="22" t="s">
        <v>1514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78" t="s">
        <v>283</v>
      </c>
      <c r="B11" s="279"/>
      <c r="C11" s="280"/>
      <c r="D11" s="280" t="s">
        <v>284</v>
      </c>
      <c r="E11" s="27" t="s">
        <v>285</v>
      </c>
      <c r="F11" s="280" t="s">
        <v>286</v>
      </c>
      <c r="G11" s="279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794.21165367373465</v>
      </c>
      <c r="H12" s="34"/>
    </row>
    <row r="13" spans="1:8">
      <c r="A13" s="281"/>
      <c r="B13" s="282"/>
      <c r="C13" s="283"/>
      <c r="D13" s="35"/>
      <c r="E13" s="36"/>
      <c r="F13" s="31"/>
      <c r="G13" s="33"/>
      <c r="H13" s="34"/>
    </row>
    <row r="14" spans="1:8">
      <c r="A14" s="281"/>
      <c r="B14" s="282"/>
      <c r="C14" s="283"/>
      <c r="D14" s="35"/>
      <c r="E14" s="36"/>
      <c r="F14" s="31"/>
      <c r="G14" s="33"/>
      <c r="H14" s="34"/>
    </row>
    <row r="15" spans="1:8">
      <c r="A15" s="281"/>
      <c r="B15" s="282"/>
      <c r="C15" s="283"/>
      <c r="D15" s="35"/>
      <c r="E15" s="36"/>
      <c r="F15" s="31"/>
      <c r="G15" s="33"/>
      <c r="H15" s="34"/>
    </row>
    <row r="16" spans="1:8" ht="15" thickBot="1">
      <c r="A16" s="284"/>
      <c r="B16" s="285"/>
      <c r="C16" s="28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794.21165367373465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290" t="s">
        <v>283</v>
      </c>
      <c r="B19" s="291"/>
      <c r="C19" s="292"/>
      <c r="D19" s="292" t="s">
        <v>291</v>
      </c>
      <c r="E19" s="292" t="s">
        <v>292</v>
      </c>
      <c r="F19" s="292" t="s">
        <v>293</v>
      </c>
      <c r="G19" s="291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27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78" t="s">
        <v>295</v>
      </c>
      <c r="B26" s="280"/>
      <c r="C26" s="55" t="s">
        <v>296</v>
      </c>
      <c r="D26" s="280" t="s">
        <v>297</v>
      </c>
      <c r="E26" s="280" t="s">
        <v>298</v>
      </c>
      <c r="F26" s="280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78" t="s">
        <v>301</v>
      </c>
      <c r="B32" s="280"/>
      <c r="C32" s="280" t="s">
        <v>302</v>
      </c>
      <c r="D32" s="280" t="s">
        <v>303</v>
      </c>
      <c r="E32" s="85" t="s">
        <v>304</v>
      </c>
      <c r="F32" s="64" t="s">
        <v>286</v>
      </c>
      <c r="G32" s="279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+SALARIOS!D48</f>
        <v>1.8056142176927319</v>
      </c>
      <c r="E33" s="31">
        <f>+C33*D33</f>
        <v>96005.657529107819</v>
      </c>
      <c r="F33" s="31">
        <v>0.05</v>
      </c>
      <c r="G33" s="67">
        <f>+E33*F33</f>
        <v>4800.2828764553915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+SALARIOS!D49</f>
        <v>1.724216206485921</v>
      </c>
      <c r="E34" s="31">
        <f>+C34*D34</f>
        <v>56362.156413462129</v>
      </c>
      <c r="F34" s="31">
        <v>5.5743673773481203E-2</v>
      </c>
      <c r="G34" s="67">
        <f>+E34*F34</f>
        <v>3141.8336602819545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7942.116536737346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8736.3281904110809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291"/>
      <c r="C41" s="291"/>
      <c r="D41" s="291"/>
      <c r="E41" s="292"/>
      <c r="F41" s="292" t="s">
        <v>308</v>
      </c>
      <c r="G41" s="291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1310.449228561662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436.81640952055409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436.81640952055409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2184.0820476027702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10920</v>
      </c>
    </row>
  </sheetData>
  <mergeCells count="1">
    <mergeCell ref="A3:C4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1766</v>
      </c>
      <c r="H7" s="23"/>
    </row>
    <row r="8" spans="1:8">
      <c r="A8" s="22" t="s">
        <v>1516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1111.8274034037222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1111.8274034037222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09" t="s">
        <v>283</v>
      </c>
      <c r="B19" s="310"/>
      <c r="C19" s="311"/>
      <c r="D19" s="311" t="s">
        <v>291</v>
      </c>
      <c r="E19" s="311" t="s">
        <v>292</v>
      </c>
      <c r="F19" s="311" t="s">
        <v>293</v>
      </c>
      <c r="G19" s="310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27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97" t="s">
        <v>295</v>
      </c>
      <c r="B26" s="299"/>
      <c r="C26" s="55" t="s">
        <v>296</v>
      </c>
      <c r="D26" s="299" t="s">
        <v>297</v>
      </c>
      <c r="E26" s="299" t="s">
        <v>298</v>
      </c>
      <c r="F26" s="2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97" t="s">
        <v>301</v>
      </c>
      <c r="B32" s="299"/>
      <c r="C32" s="299" t="s">
        <v>302</v>
      </c>
      <c r="D32" s="299" t="s">
        <v>303</v>
      </c>
      <c r="E32" s="85" t="s">
        <v>304</v>
      </c>
      <c r="F32" s="64" t="s">
        <v>286</v>
      </c>
      <c r="G32" s="29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+SALARIOS!D48</f>
        <v>1.8056142176927319</v>
      </c>
      <c r="E33" s="31">
        <f>+C33*D33</f>
        <v>96005.657529107819</v>
      </c>
      <c r="F33" s="31">
        <v>0.06</v>
      </c>
      <c r="G33" s="67">
        <f>+E33*F33</f>
        <v>5760.3394517464685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+SALARIOS!D49</f>
        <v>1.724216206485921</v>
      </c>
      <c r="E34" s="31">
        <f>+C34*D34</f>
        <v>56362.156413462129</v>
      </c>
      <c r="F34" s="31">
        <v>9.5062625762328143E-2</v>
      </c>
      <c r="G34" s="67">
        <f>+E34*F34</f>
        <v>5357.9345822907535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11118.274034037222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12230.101437440944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10"/>
      <c r="C41" s="310"/>
      <c r="D41" s="310"/>
      <c r="E41" s="311"/>
      <c r="F41" s="311" t="s">
        <v>308</v>
      </c>
      <c r="G41" s="3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1834.5152156161416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611.50507187204721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611.50507187204721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3057.5253593602361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15288</v>
      </c>
    </row>
  </sheetData>
  <mergeCells count="1">
    <mergeCell ref="A3:C4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1767</v>
      </c>
      <c r="H7" s="23"/>
    </row>
    <row r="8" spans="1:8">
      <c r="A8" s="22" t="s">
        <v>1518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93" t="s">
        <v>834</v>
      </c>
      <c r="B12" s="312"/>
      <c r="C12" s="313"/>
      <c r="D12" s="30"/>
      <c r="E12" s="48"/>
      <c r="F12" s="120"/>
      <c r="G12" s="33">
        <f>H38*10%</f>
        <v>2098.2097827118541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>
      <c r="A16" s="303"/>
      <c r="B16" s="304"/>
      <c r="C16" s="305"/>
      <c r="D16" s="35"/>
      <c r="E16" s="36"/>
      <c r="F16" s="31"/>
      <c r="G16" s="33"/>
      <c r="H16" s="34"/>
    </row>
    <row r="17" spans="1:8" ht="15" thickBot="1">
      <c r="A17" s="306"/>
      <c r="B17" s="307"/>
      <c r="C17" s="30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2098.2097827118541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09" t="s">
        <v>283</v>
      </c>
      <c r="B20" s="310"/>
      <c r="C20" s="311"/>
      <c r="D20" s="311" t="s">
        <v>291</v>
      </c>
      <c r="E20" s="311" t="s">
        <v>292</v>
      </c>
      <c r="F20" s="311" t="s">
        <v>293</v>
      </c>
      <c r="G20" s="31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</v>
      </c>
      <c r="G34" s="67">
        <f>E34*F34</f>
        <v>11001.320813980945</v>
      </c>
      <c r="H34" s="34"/>
    </row>
    <row r="35" spans="1:8">
      <c r="A35" s="45" t="s">
        <v>807</v>
      </c>
      <c r="B35" s="46"/>
      <c r="C35" s="65">
        <f>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20982.097827118541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23080.307609830394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3462.0461414745591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1154.0153804915196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1154.0153804915196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5770.0769024575984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28850</v>
      </c>
    </row>
  </sheetData>
  <mergeCells count="1">
    <mergeCell ref="A3:C4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1768</v>
      </c>
      <c r="H7" s="23"/>
    </row>
    <row r="8" spans="1:8">
      <c r="A8" s="22" t="s">
        <v>1520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312"/>
      <c r="C12" s="313"/>
      <c r="D12" s="30"/>
      <c r="E12" s="48"/>
      <c r="F12" s="120"/>
      <c r="G12" s="33">
        <f>H38*10%</f>
        <v>5196.5535283371155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>
      <c r="A16" s="303"/>
      <c r="B16" s="304"/>
      <c r="C16" s="305"/>
      <c r="D16" s="35"/>
      <c r="E16" s="36"/>
      <c r="F16" s="31"/>
      <c r="G16" s="33"/>
      <c r="H16" s="34"/>
    </row>
    <row r="17" spans="1:8" ht="15" thickBot="1">
      <c r="A17" s="306"/>
      <c r="B17" s="307"/>
      <c r="C17" s="30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5196.5535283371155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09" t="s">
        <v>283</v>
      </c>
      <c r="B20" s="310"/>
      <c r="C20" s="311"/>
      <c r="D20" s="311" t="s">
        <v>291</v>
      </c>
      <c r="E20" s="311" t="s">
        <v>292</v>
      </c>
      <c r="F20" s="311" t="s">
        <v>293</v>
      </c>
      <c r="G20" s="31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0.34149542467648497</v>
      </c>
      <c r="G34" s="67">
        <f>+E34*F34</f>
        <v>31307.506028105636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51965.535283371151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57162.088811708265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8574.313321756239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2858.1044405854136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2858.1044405854136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14290.522202927066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71453</v>
      </c>
    </row>
  </sheetData>
  <mergeCells count="1">
    <mergeCell ref="A3:C4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1769</v>
      </c>
      <c r="H7" s="23"/>
    </row>
    <row r="8" spans="1:8">
      <c r="A8" s="22" t="s">
        <v>1522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312"/>
      <c r="C12" s="313"/>
      <c r="D12" s="30"/>
      <c r="E12" s="48"/>
      <c r="F12" s="120"/>
      <c r="G12" s="33">
        <f>H38*10%</f>
        <v>10133.437479362459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>
      <c r="A16" s="303"/>
      <c r="B16" s="304"/>
      <c r="C16" s="305"/>
      <c r="D16" s="35"/>
      <c r="E16" s="36"/>
      <c r="F16" s="31"/>
      <c r="G16" s="33"/>
      <c r="H16" s="34"/>
    </row>
    <row r="17" spans="1:8" ht="15" thickBot="1">
      <c r="A17" s="306"/>
      <c r="B17" s="307"/>
      <c r="C17" s="30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10133.437479362459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09" t="s">
        <v>283</v>
      </c>
      <c r="B20" s="310"/>
      <c r="C20" s="311"/>
      <c r="D20" s="311" t="s">
        <v>291</v>
      </c>
      <c r="E20" s="311" t="s">
        <v>292</v>
      </c>
      <c r="F20" s="311" t="s">
        <v>293</v>
      </c>
      <c r="G20" s="31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0.65466666009942798</v>
      </c>
      <c r="G34" s="67">
        <f>+E34*F34</f>
        <v>60018.316283093547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0.7</v>
      </c>
      <c r="G35" s="67">
        <f>+E35*F35</f>
        <v>41316.058510531031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101334.37479362458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111467.81227298704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16720.171840948056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5573.3906136493524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5573.3906136493524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27866.953068246763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139335</v>
      </c>
    </row>
  </sheetData>
  <mergeCells count="1">
    <mergeCell ref="A3:C4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806</v>
      </c>
      <c r="B7" s="24"/>
      <c r="C7" s="23"/>
      <c r="D7" s="2"/>
      <c r="E7" s="24"/>
      <c r="F7" s="2"/>
      <c r="G7" s="24" t="s">
        <v>1770</v>
      </c>
      <c r="H7" s="23"/>
    </row>
    <row r="8" spans="1:8">
      <c r="A8" s="22" t="s">
        <v>1524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312"/>
      <c r="C12" s="313"/>
      <c r="D12" s="30"/>
      <c r="E12" s="48"/>
      <c r="F12" s="120"/>
      <c r="G12" s="33">
        <f>H38*10%</f>
        <v>12160.054480332396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>
      <c r="A16" s="303"/>
      <c r="B16" s="304"/>
      <c r="C16" s="305"/>
      <c r="D16" s="35"/>
      <c r="E16" s="36"/>
      <c r="F16" s="31"/>
      <c r="G16" s="33"/>
      <c r="H16" s="34"/>
    </row>
    <row r="17" spans="1:8" ht="15" thickBot="1">
      <c r="A17" s="306"/>
      <c r="B17" s="307"/>
      <c r="C17" s="308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12160.054480332396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09" t="s">
        <v>283</v>
      </c>
      <c r="B20" s="310"/>
      <c r="C20" s="311"/>
      <c r="D20" s="311" t="s">
        <v>291</v>
      </c>
      <c r="E20" s="311" t="s">
        <v>292</v>
      </c>
      <c r="F20" s="311" t="s">
        <v>293</v>
      </c>
      <c r="G20" s="31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0.7411109187941729</v>
      </c>
      <c r="G34" s="67">
        <f>+E34*F34</f>
        <v>67943.324803323965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0.9090909286621891</v>
      </c>
      <c r="G35" s="67">
        <f>+E35*F35</f>
        <v>53657.219999999994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121600.54480332395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133760.59928365634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20064.089892548451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6688.0299641828169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6688.0299641828169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33440.149820914085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167201</v>
      </c>
    </row>
  </sheetData>
  <mergeCells count="1">
    <mergeCell ref="A3:C4"/>
  </mergeCell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topLeftCell="A16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474" t="s">
        <v>318</v>
      </c>
      <c r="B5" s="475"/>
      <c r="C5" s="476"/>
      <c r="D5" s="462"/>
      <c r="E5" s="463"/>
      <c r="F5" s="463"/>
      <c r="G5" s="463"/>
      <c r="H5" s="46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1771</v>
      </c>
      <c r="H7" s="23"/>
    </row>
    <row r="8" spans="1:8">
      <c r="A8" s="22" t="s">
        <v>989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465" t="s">
        <v>283</v>
      </c>
      <c r="B11" s="466"/>
      <c r="C11" s="467"/>
      <c r="D11" s="467" t="s">
        <v>284</v>
      </c>
      <c r="E11" s="27" t="s">
        <v>285</v>
      </c>
      <c r="F11" s="467" t="s">
        <v>286</v>
      </c>
      <c r="G11" s="46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794.21181818181788</v>
      </c>
      <c r="H12" s="34"/>
    </row>
    <row r="13" spans="1:8">
      <c r="A13" s="468"/>
      <c r="B13" s="469"/>
      <c r="C13" s="470"/>
      <c r="D13" s="35"/>
      <c r="E13" s="36"/>
      <c r="F13" s="31"/>
      <c r="G13" s="33"/>
      <c r="H13" s="34"/>
    </row>
    <row r="14" spans="1:8">
      <c r="A14" s="468"/>
      <c r="B14" s="469"/>
      <c r="C14" s="470"/>
      <c r="D14" s="35"/>
      <c r="E14" s="36"/>
      <c r="F14" s="31"/>
      <c r="G14" s="33"/>
      <c r="H14" s="34"/>
    </row>
    <row r="15" spans="1:8">
      <c r="A15" s="468"/>
      <c r="B15" s="469"/>
      <c r="C15" s="470"/>
      <c r="D15" s="35"/>
      <c r="E15" s="36"/>
      <c r="F15" s="31"/>
      <c r="G15" s="33"/>
      <c r="H15" s="34"/>
    </row>
    <row r="16" spans="1:8" ht="15" thickBot="1">
      <c r="A16" s="471"/>
      <c r="B16" s="472"/>
      <c r="C16" s="473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794.21181818181788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477" t="s">
        <v>283</v>
      </c>
      <c r="B19" s="478"/>
      <c r="C19" s="479"/>
      <c r="D19" s="479" t="s">
        <v>291</v>
      </c>
      <c r="E19" s="479" t="s">
        <v>292</v>
      </c>
      <c r="F19" s="479" t="s">
        <v>293</v>
      </c>
      <c r="G19" s="478" t="s">
        <v>287</v>
      </c>
      <c r="H19" s="29"/>
    </row>
    <row r="20" spans="1:8">
      <c r="A20" s="86" t="s">
        <v>994</v>
      </c>
      <c r="B20" s="46"/>
      <c r="C20" s="47"/>
      <c r="D20" s="100" t="s">
        <v>41</v>
      </c>
      <c r="E20" s="98">
        <f>MATERIALES!E111</f>
        <v>27769</v>
      </c>
      <c r="F20" s="122">
        <v>1</v>
      </c>
      <c r="G20" s="96">
        <f>+E20*F20</f>
        <v>27769</v>
      </c>
      <c r="H20" s="21"/>
    </row>
    <row r="21" spans="1:8">
      <c r="A21" s="86" t="s">
        <v>992</v>
      </c>
      <c r="B21" s="46"/>
      <c r="C21" s="47"/>
      <c r="D21" s="30" t="s">
        <v>41</v>
      </c>
      <c r="E21" s="101">
        <f>MATERIALES!E45</f>
        <v>17453.73</v>
      </c>
      <c r="F21" s="31">
        <v>8.0000000000000002E-3</v>
      </c>
      <c r="G21" s="31">
        <f>+E21*F21</f>
        <v>139.62984</v>
      </c>
      <c r="H21" s="21"/>
    </row>
    <row r="22" spans="1:8">
      <c r="A22" s="87" t="s">
        <v>808</v>
      </c>
      <c r="B22" s="88"/>
      <c r="C22" s="89"/>
      <c r="D22" s="90" t="s">
        <v>41</v>
      </c>
      <c r="E22" s="91">
        <f>MATERIALES!E28</f>
        <v>15181</v>
      </c>
      <c r="F22" s="334">
        <v>8.0000000000000002E-3</v>
      </c>
      <c r="G22" s="97">
        <f>+E22*F22</f>
        <v>121.44800000000001</v>
      </c>
      <c r="H22" s="21"/>
    </row>
    <row r="23" spans="1:8" ht="15" thickBot="1">
      <c r="A23" s="51" t="s">
        <v>993</v>
      </c>
      <c r="B23" s="52"/>
      <c r="C23" s="53"/>
      <c r="D23" s="38" t="s">
        <v>41</v>
      </c>
      <c r="E23" s="39">
        <f>MATERIALES!E15</f>
        <v>7726.2733333333335</v>
      </c>
      <c r="F23" s="40">
        <v>2.0837989164245625E-2</v>
      </c>
      <c r="G23" s="97">
        <f>+E23*F23</f>
        <v>160.99999999999994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28191.077840000002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465" t="s">
        <v>295</v>
      </c>
      <c r="B26" s="467"/>
      <c r="C26" s="55" t="s">
        <v>296</v>
      </c>
      <c r="D26" s="467" t="s">
        <v>297</v>
      </c>
      <c r="E26" s="467" t="s">
        <v>298</v>
      </c>
      <c r="F26" s="467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465" t="s">
        <v>301</v>
      </c>
      <c r="B32" s="467"/>
      <c r="C32" s="467" t="s">
        <v>302</v>
      </c>
      <c r="D32" s="467" t="s">
        <v>303</v>
      </c>
      <c r="E32" s="85" t="s">
        <v>304</v>
      </c>
      <c r="F32" s="64" t="s">
        <v>286</v>
      </c>
      <c r="G32" s="466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0.05</v>
      </c>
      <c r="G33" s="67">
        <f>+E33*F33</f>
        <v>4583.8836724920611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5.6897105902033153E-2</v>
      </c>
      <c r="G34" s="67">
        <f>+E34*F34</f>
        <v>3358.2345093261174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7942.1181818181785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36927.40784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478"/>
      <c r="C41" s="478"/>
      <c r="D41" s="478"/>
      <c r="E41" s="479"/>
      <c r="F41" s="479" t="s">
        <v>308</v>
      </c>
      <c r="G41" s="478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5539.1111759999994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1846.370392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1846.370392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9231.85196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46159</v>
      </c>
    </row>
  </sheetData>
  <mergeCells count="1">
    <mergeCell ref="A3:C4"/>
  </mergeCells>
  <pageMargins left="0.7" right="0.7" top="0.75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G9" sqref="G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368</v>
      </c>
      <c r="B7" s="24"/>
      <c r="C7" s="23"/>
      <c r="D7" s="2"/>
      <c r="E7" s="24"/>
      <c r="F7" s="2"/>
      <c r="G7" s="24" t="s">
        <v>369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17" t="s">
        <v>284</v>
      </c>
      <c r="E11" s="27" t="s">
        <v>285</v>
      </c>
      <c r="F11" s="117" t="s">
        <v>286</v>
      </c>
      <c r="G11" s="116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4976.9254042606772</v>
      </c>
      <c r="H12" s="34"/>
    </row>
    <row r="13" spans="1:8">
      <c r="A13" s="541" t="s">
        <v>43</v>
      </c>
      <c r="B13" s="135"/>
      <c r="C13" s="133"/>
      <c r="D13" s="133" t="s">
        <v>7</v>
      </c>
      <c r="E13" s="132">
        <f>+'EQUIPOS '!D6</f>
        <v>84117</v>
      </c>
      <c r="F13" s="488">
        <v>6.4552944113557054E-2</v>
      </c>
      <c r="G13" s="132">
        <f>+E13*F13</f>
        <v>5430.0000000000791</v>
      </c>
      <c r="H13" s="34"/>
    </row>
    <row r="14" spans="1:8">
      <c r="A14" s="134" t="s">
        <v>1048</v>
      </c>
      <c r="B14" s="135"/>
      <c r="C14" s="133"/>
      <c r="D14" s="133" t="s">
        <v>7</v>
      </c>
      <c r="E14" s="132">
        <f>'EQUIPOS '!D11</f>
        <v>51177</v>
      </c>
      <c r="F14" s="488">
        <v>0.13</v>
      </c>
      <c r="G14" s="132">
        <f>E14*F14</f>
        <v>6653.01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17059.935404260759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19" t="s">
        <v>291</v>
      </c>
      <c r="E20" s="119" t="s">
        <v>292</v>
      </c>
      <c r="F20" s="119" t="s">
        <v>293</v>
      </c>
      <c r="G20" s="11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17" t="s">
        <v>297</v>
      </c>
      <c r="E27" s="117" t="s">
        <v>298</v>
      </c>
      <c r="F27" s="11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17" t="s">
        <v>302</v>
      </c>
      <c r="D33" s="117" t="s">
        <v>303</v>
      </c>
      <c r="E33" s="85" t="s">
        <v>304</v>
      </c>
      <c r="F33" s="64" t="s">
        <v>286</v>
      </c>
      <c r="G33" s="11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(C34*D34)</f>
        <v>177068.82218799012</v>
      </c>
      <c r="F34" s="59">
        <v>0.28107293778555681</v>
      </c>
      <c r="G34" s="67">
        <f>E34*F34</f>
        <v>49769.254042606772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49769.254042606772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66829.189446867531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19" t="s">
        <v>308</v>
      </c>
      <c r="G42" s="1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10024.37841703013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3341.4594723433765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(SALARIOS!C45)</f>
        <v>0.05</v>
      </c>
      <c r="G45" s="81">
        <f>+F45*H40</f>
        <v>3341.4594723433765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16707.297361716883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83536</v>
      </c>
    </row>
  </sheetData>
  <mergeCells count="11">
    <mergeCell ref="A33:B33"/>
    <mergeCell ref="A3:C4"/>
    <mergeCell ref="A5:C5"/>
    <mergeCell ref="D5:H5"/>
    <mergeCell ref="A11:C11"/>
    <mergeCell ref="A12:C12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1772</v>
      </c>
      <c r="H7" s="23"/>
    </row>
    <row r="8" spans="1:8">
      <c r="A8" s="22" t="s">
        <v>990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794.21181818181788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794.21181818181788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477" t="s">
        <v>283</v>
      </c>
      <c r="B19" s="478"/>
      <c r="C19" s="479"/>
      <c r="D19" s="479" t="s">
        <v>291</v>
      </c>
      <c r="E19" s="479" t="s">
        <v>292</v>
      </c>
      <c r="F19" s="479" t="s">
        <v>293</v>
      </c>
      <c r="G19" s="388" t="s">
        <v>287</v>
      </c>
      <c r="H19" s="484"/>
    </row>
    <row r="20" spans="1:8">
      <c r="A20" s="45" t="s">
        <v>991</v>
      </c>
      <c r="B20" s="46"/>
      <c r="C20" s="47"/>
      <c r="D20" s="100" t="s">
        <v>41</v>
      </c>
      <c r="E20" s="98">
        <f>MATERIALES!E113</f>
        <v>47193</v>
      </c>
      <c r="F20" s="122">
        <v>1</v>
      </c>
      <c r="G20" s="485">
        <f>+E20*F20</f>
        <v>47193</v>
      </c>
      <c r="H20" s="21"/>
    </row>
    <row r="21" spans="1:8">
      <c r="A21" s="45" t="s">
        <v>992</v>
      </c>
      <c r="B21" s="46"/>
      <c r="C21" s="47"/>
      <c r="D21" s="30" t="s">
        <v>41</v>
      </c>
      <c r="E21" s="101">
        <f>MATERIALES!E45</f>
        <v>17453.73</v>
      </c>
      <c r="F21" s="31">
        <v>8.0000000000000002E-3</v>
      </c>
      <c r="G21" s="67">
        <f>+E21*F21</f>
        <v>139.62984</v>
      </c>
      <c r="H21" s="21"/>
    </row>
    <row r="22" spans="1:8">
      <c r="A22" s="87" t="s">
        <v>808</v>
      </c>
      <c r="B22" s="88"/>
      <c r="C22" s="89"/>
      <c r="D22" s="90" t="s">
        <v>41</v>
      </c>
      <c r="E22" s="91">
        <f>MATERIALES!E28</f>
        <v>15181</v>
      </c>
      <c r="F22" s="334">
        <v>8.0000000000000002E-3</v>
      </c>
      <c r="G22" s="486">
        <f>+E22*F22</f>
        <v>121.44800000000001</v>
      </c>
      <c r="H22" s="21"/>
    </row>
    <row r="23" spans="1:8" ht="15" thickBot="1">
      <c r="A23" s="51" t="s">
        <v>993</v>
      </c>
      <c r="B23" s="52"/>
      <c r="C23" s="53"/>
      <c r="D23" s="38" t="s">
        <v>41</v>
      </c>
      <c r="E23" s="39">
        <f>MATERIALES!E15</f>
        <v>7726.2733333333335</v>
      </c>
      <c r="F23" s="40">
        <v>2.0837989164245625E-2</v>
      </c>
      <c r="G23" s="487">
        <f>+E23*F23</f>
        <v>160.99999999999994</v>
      </c>
      <c r="H23" s="387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47615.077839999998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97" t="s">
        <v>295</v>
      </c>
      <c r="B26" s="299"/>
      <c r="C26" s="55" t="s">
        <v>296</v>
      </c>
      <c r="D26" s="299" t="s">
        <v>297</v>
      </c>
      <c r="E26" s="299" t="s">
        <v>298</v>
      </c>
      <c r="F26" s="2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97" t="s">
        <v>301</v>
      </c>
      <c r="B32" s="299"/>
      <c r="C32" s="299" t="s">
        <v>302</v>
      </c>
      <c r="D32" s="299" t="s">
        <v>303</v>
      </c>
      <c r="E32" s="85" t="s">
        <v>304</v>
      </c>
      <c r="F32" s="64" t="s">
        <v>286</v>
      </c>
      <c r="G32" s="29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0.05</v>
      </c>
      <c r="G33" s="67">
        <f>+E33*F33</f>
        <v>4583.8836724920611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+SALARIOS!D48</f>
        <v>1.8056142176927319</v>
      </c>
      <c r="E34" s="31">
        <f>+C34*D34</f>
        <v>59022.940729330046</v>
      </c>
      <c r="F34" s="31">
        <v>5.6897105902033153E-2</v>
      </c>
      <c r="G34" s="67">
        <f>+E34*F34</f>
        <v>3358.2345093261174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7942.1181818181785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56351.407839999993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10"/>
      <c r="C41" s="310"/>
      <c r="D41" s="310"/>
      <c r="E41" s="311"/>
      <c r="F41" s="311" t="s">
        <v>308</v>
      </c>
      <c r="G41" s="3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8452.7111759999989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2817.5703919999996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2817.5703919999996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14087.851959999998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70439</v>
      </c>
    </row>
  </sheetData>
  <mergeCells count="1">
    <mergeCell ref="A3:C4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topLeftCell="A19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1773</v>
      </c>
      <c r="H7" s="23"/>
    </row>
    <row r="8" spans="1:8">
      <c r="A8" s="22" t="s">
        <v>809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794.21165367373465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794.21165367373465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09" t="s">
        <v>283</v>
      </c>
      <c r="B19" s="310"/>
      <c r="C19" s="311"/>
      <c r="D19" s="311" t="s">
        <v>291</v>
      </c>
      <c r="E19" s="311" t="s">
        <v>292</v>
      </c>
      <c r="F19" s="311" t="s">
        <v>293</v>
      </c>
      <c r="G19" s="310" t="s">
        <v>287</v>
      </c>
      <c r="H19" s="29"/>
    </row>
    <row r="20" spans="1:8">
      <c r="A20" s="86" t="s">
        <v>862</v>
      </c>
      <c r="B20" s="46"/>
      <c r="C20" s="47"/>
      <c r="D20" s="100" t="s">
        <v>41</v>
      </c>
      <c r="E20" s="98">
        <f>+MATERIALES!E114</f>
        <v>4357</v>
      </c>
      <c r="F20" s="122">
        <v>1</v>
      </c>
      <c r="G20" s="96">
        <f>+E20*F20</f>
        <v>4357</v>
      </c>
      <c r="H20" s="21"/>
    </row>
    <row r="21" spans="1:8">
      <c r="A21" s="45" t="s">
        <v>992</v>
      </c>
      <c r="B21" s="46"/>
      <c r="C21" s="47"/>
      <c r="D21" s="30" t="s">
        <v>41</v>
      </c>
      <c r="E21" s="101">
        <f>MATERIALES!E45</f>
        <v>17453.73</v>
      </c>
      <c r="F21" s="31">
        <v>8.0000000000000002E-3</v>
      </c>
      <c r="G21" s="67">
        <f>+E21*F21</f>
        <v>139.62984</v>
      </c>
      <c r="H21" s="21"/>
    </row>
    <row r="22" spans="1:8">
      <c r="A22" s="87" t="s">
        <v>808</v>
      </c>
      <c r="B22" s="88"/>
      <c r="C22" s="89"/>
      <c r="D22" s="90" t="s">
        <v>41</v>
      </c>
      <c r="E22" s="91">
        <f>MATERIALES!E28</f>
        <v>15181</v>
      </c>
      <c r="F22" s="334">
        <v>8.0000000000000002E-3</v>
      </c>
      <c r="G22" s="486">
        <f>+E22*F22</f>
        <v>121.44800000000001</v>
      </c>
      <c r="H22" s="21"/>
    </row>
    <row r="23" spans="1:8" ht="15" thickBot="1">
      <c r="A23" s="51" t="s">
        <v>993</v>
      </c>
      <c r="B23" s="52"/>
      <c r="C23" s="53"/>
      <c r="D23" s="38" t="s">
        <v>41</v>
      </c>
      <c r="E23" s="39">
        <f>MATERIALES!E15</f>
        <v>7726.2733333333335</v>
      </c>
      <c r="F23" s="40">
        <v>2.0837989164245625E-2</v>
      </c>
      <c r="G23" s="487">
        <f>+E23*F23</f>
        <v>160.99999999999994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4779.0778399999999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97" t="s">
        <v>295</v>
      </c>
      <c r="B26" s="299"/>
      <c r="C26" s="55" t="s">
        <v>296</v>
      </c>
      <c r="D26" s="299" t="s">
        <v>297</v>
      </c>
      <c r="E26" s="299" t="s">
        <v>298</v>
      </c>
      <c r="F26" s="2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97" t="s">
        <v>301</v>
      </c>
      <c r="B32" s="299"/>
      <c r="C32" s="299" t="s">
        <v>302</v>
      </c>
      <c r="D32" s="299" t="s">
        <v>303</v>
      </c>
      <c r="E32" s="85" t="s">
        <v>304</v>
      </c>
      <c r="F32" s="64" t="s">
        <v>286</v>
      </c>
      <c r="G32" s="29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+SALARIOS!D48</f>
        <v>1.8056142176927319</v>
      </c>
      <c r="E33" s="31">
        <f>+C33*D33</f>
        <v>96005.657529107819</v>
      </c>
      <c r="F33" s="31">
        <v>0.05</v>
      </c>
      <c r="G33" s="67">
        <f>+E33*F33</f>
        <v>4800.2828764553915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+SALARIOS!D49</f>
        <v>1.724216206485921</v>
      </c>
      <c r="E34" s="31">
        <f>+C34*D34</f>
        <v>56362.156413462129</v>
      </c>
      <c r="F34" s="31">
        <v>5.5743673773481203E-2</v>
      </c>
      <c r="G34" s="67">
        <f>+E34*F34</f>
        <v>3141.8336602819545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7942.116536737346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13515.406030411081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10"/>
      <c r="C41" s="310"/>
      <c r="D41" s="310"/>
      <c r="E41" s="311"/>
      <c r="F41" s="311" t="s">
        <v>308</v>
      </c>
      <c r="G41" s="3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2027.310904561662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675.77030152055409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675.77030152055409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3378.8515076027707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16894</v>
      </c>
    </row>
  </sheetData>
  <mergeCells count="1">
    <mergeCell ref="A3:C4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1774</v>
      </c>
      <c r="H7" s="23"/>
    </row>
    <row r="8" spans="1:8">
      <c r="A8" s="22" t="s">
        <v>810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794.21165367373465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794.21165367373465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09" t="s">
        <v>283</v>
      </c>
      <c r="B19" s="310"/>
      <c r="C19" s="311"/>
      <c r="D19" s="311" t="s">
        <v>291</v>
      </c>
      <c r="E19" s="311" t="s">
        <v>292</v>
      </c>
      <c r="F19" s="311" t="s">
        <v>293</v>
      </c>
      <c r="G19" s="310" t="s">
        <v>287</v>
      </c>
      <c r="H19" s="29"/>
    </row>
    <row r="20" spans="1:8">
      <c r="A20" s="86" t="s">
        <v>997</v>
      </c>
      <c r="B20" s="46"/>
      <c r="C20" s="47"/>
      <c r="D20" s="100" t="s">
        <v>41</v>
      </c>
      <c r="E20" s="98">
        <f>+MATERIALES!E115</f>
        <v>15415</v>
      </c>
      <c r="F20" s="122">
        <v>1</v>
      </c>
      <c r="G20" s="96">
        <f>+E20*F20</f>
        <v>15415</v>
      </c>
      <c r="H20" s="21"/>
    </row>
    <row r="21" spans="1:8">
      <c r="A21" s="45" t="s">
        <v>992</v>
      </c>
      <c r="B21" s="46"/>
      <c r="C21" s="47"/>
      <c r="D21" s="30" t="s">
        <v>41</v>
      </c>
      <c r="E21" s="101">
        <f>MATERIALES!E45</f>
        <v>17453.73</v>
      </c>
      <c r="F21" s="31">
        <v>8.0000000000000002E-3</v>
      </c>
      <c r="G21" s="67">
        <f>+E21*F21</f>
        <v>139.62984</v>
      </c>
      <c r="H21" s="21"/>
    </row>
    <row r="22" spans="1:8">
      <c r="A22" s="87" t="s">
        <v>808</v>
      </c>
      <c r="B22" s="88"/>
      <c r="C22" s="89"/>
      <c r="D22" s="90" t="s">
        <v>41</v>
      </c>
      <c r="E22" s="91">
        <f>MATERIALES!E28</f>
        <v>15181</v>
      </c>
      <c r="F22" s="334">
        <v>8.0000000000000002E-3</v>
      </c>
      <c r="G22" s="486">
        <f>+E22*F22</f>
        <v>121.44800000000001</v>
      </c>
      <c r="H22" s="21"/>
    </row>
    <row r="23" spans="1:8" ht="15" thickBot="1">
      <c r="A23" s="51" t="s">
        <v>993</v>
      </c>
      <c r="B23" s="52"/>
      <c r="C23" s="53"/>
      <c r="D23" s="38" t="s">
        <v>41</v>
      </c>
      <c r="E23" s="39">
        <f>MATERIALES!E15</f>
        <v>7726.2733333333335</v>
      </c>
      <c r="F23" s="40">
        <v>2.0837989164245625E-2</v>
      </c>
      <c r="G23" s="487">
        <f>+E23*F23</f>
        <v>160.99999999999994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15837.07784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297" t="s">
        <v>295</v>
      </c>
      <c r="B26" s="299"/>
      <c r="C26" s="55" t="s">
        <v>296</v>
      </c>
      <c r="D26" s="299" t="s">
        <v>297</v>
      </c>
      <c r="E26" s="299" t="s">
        <v>298</v>
      </c>
      <c r="F26" s="29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297" t="s">
        <v>301</v>
      </c>
      <c r="B32" s="299"/>
      <c r="C32" s="299" t="s">
        <v>302</v>
      </c>
      <c r="D32" s="299" t="s">
        <v>303</v>
      </c>
      <c r="E32" s="85" t="s">
        <v>304</v>
      </c>
      <c r="F32" s="64" t="s">
        <v>286</v>
      </c>
      <c r="G32" s="29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+SALARIOS!D48</f>
        <v>1.8056142176927319</v>
      </c>
      <c r="E33" s="31">
        <f>+C33*D33</f>
        <v>96005.657529107819</v>
      </c>
      <c r="F33" s="31">
        <v>0.05</v>
      </c>
      <c r="G33" s="67">
        <f>+E33*F33</f>
        <v>4800.2828764553915</v>
      </c>
      <c r="H33" s="34"/>
    </row>
    <row r="34" spans="1:8">
      <c r="A34" s="45" t="s">
        <v>807</v>
      </c>
      <c r="B34" s="46"/>
      <c r="C34" s="65">
        <f>SALARIOS!C48</f>
        <v>32688.566666666666</v>
      </c>
      <c r="D34" s="66">
        <f>+SALARIOS!D49</f>
        <v>1.724216206485921</v>
      </c>
      <c r="E34" s="31">
        <f>+C34*D34</f>
        <v>56362.156413462129</v>
      </c>
      <c r="F34" s="31">
        <v>5.5743673773481203E-2</v>
      </c>
      <c r="G34" s="67">
        <f>+E34*F34</f>
        <v>3141.8336602819545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7942.116536737346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24573.406030411083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10"/>
      <c r="C41" s="310"/>
      <c r="D41" s="310"/>
      <c r="E41" s="311"/>
      <c r="F41" s="311" t="s">
        <v>308</v>
      </c>
      <c r="G41" s="31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3686.0109045616623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1228.6703015205542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1228.6703015205542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6143.3515076027707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30717</v>
      </c>
    </row>
  </sheetData>
  <mergeCells count="1">
    <mergeCell ref="A3:C4"/>
  </mergeCell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1" sqref="A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1587</v>
      </c>
      <c r="H7" s="23"/>
    </row>
    <row r="8" spans="1:8">
      <c r="A8" s="22" t="s">
        <v>1700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794.21200000000033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794.21200000000033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477" t="s">
        <v>283</v>
      </c>
      <c r="B19" s="478"/>
      <c r="C19" s="479"/>
      <c r="D19" s="479" t="s">
        <v>291</v>
      </c>
      <c r="E19" s="479" t="s">
        <v>292</v>
      </c>
      <c r="F19" s="479" t="s">
        <v>293</v>
      </c>
      <c r="G19" s="388" t="s">
        <v>287</v>
      </c>
      <c r="H19" s="484"/>
    </row>
    <row r="20" spans="1:8">
      <c r="A20" s="45" t="s">
        <v>1701</v>
      </c>
      <c r="B20" s="46"/>
      <c r="C20" s="47"/>
      <c r="D20" s="100" t="s">
        <v>1175</v>
      </c>
      <c r="E20" s="98">
        <f>+MATERIALES!E96</f>
        <v>56731</v>
      </c>
      <c r="F20" s="122">
        <v>1</v>
      </c>
      <c r="G20" s="485">
        <f>+E20*F20</f>
        <v>56731</v>
      </c>
      <c r="H20" s="21"/>
    </row>
    <row r="21" spans="1:8">
      <c r="A21" s="45" t="s">
        <v>1287</v>
      </c>
      <c r="B21" s="46"/>
      <c r="C21" s="47"/>
      <c r="D21" s="30" t="s">
        <v>41</v>
      </c>
      <c r="E21" s="48">
        <f>MATERIALES!E28</f>
        <v>15181</v>
      </c>
      <c r="F21" s="31">
        <v>2.6348725380409728E-2</v>
      </c>
      <c r="G21" s="67">
        <f>+E21*F21</f>
        <v>400.00000000000006</v>
      </c>
      <c r="H21" s="21"/>
    </row>
    <row r="22" spans="1:8">
      <c r="A22" s="45" t="s">
        <v>1288</v>
      </c>
      <c r="B22" s="46"/>
      <c r="C22" s="47"/>
      <c r="D22" s="35" t="s">
        <v>41</v>
      </c>
      <c r="E22" s="101">
        <f>MATERIALES!E45</f>
        <v>17453.73</v>
      </c>
      <c r="F22" s="31">
        <v>5.2635167382559481E-2</v>
      </c>
      <c r="G22" s="67">
        <f>+E22*F22</f>
        <v>918.67999999999984</v>
      </c>
      <c r="H22" s="21"/>
    </row>
    <row r="23" spans="1:8">
      <c r="A23" s="86" t="s">
        <v>998</v>
      </c>
      <c r="B23" s="46"/>
      <c r="C23" s="47"/>
      <c r="D23" s="30" t="s">
        <v>41</v>
      </c>
      <c r="E23" s="48">
        <f>MATERIALES!E70</f>
        <v>407.66666666666669</v>
      </c>
      <c r="F23" s="31">
        <v>2</v>
      </c>
      <c r="G23" s="67">
        <f>+E23*F23</f>
        <v>815.33333333333337</v>
      </c>
      <c r="H23" s="21"/>
    </row>
    <row r="24" spans="1:8" ht="15" thickBot="1">
      <c r="A24" s="87" t="s">
        <v>993</v>
      </c>
      <c r="B24" s="88"/>
      <c r="C24" s="89"/>
      <c r="D24" s="94" t="s">
        <v>41</v>
      </c>
      <c r="E24" s="897">
        <f>MATERIALES!E15</f>
        <v>7726.2733333333335</v>
      </c>
      <c r="F24" s="40">
        <v>2.0837989164245625E-2</v>
      </c>
      <c r="G24" s="67">
        <f>+E24*F24</f>
        <v>160.99999999999994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82">
        <f>SUM(G20:G24)</f>
        <v>59026.013333333336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5.236051286386912E-2</v>
      </c>
      <c r="G34" s="67">
        <f>+E34*F34</f>
        <v>4800.2900000000036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5.323065847240549E-2</v>
      </c>
      <c r="G35" s="67">
        <f>+E35*F35</f>
        <v>3141.8299999999995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7942.1200000000026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67762.345333333331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10164.351799999999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3388.1172666666666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3388.1172666666666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16940.586333333333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84703</v>
      </c>
    </row>
  </sheetData>
  <mergeCells count="1">
    <mergeCell ref="A3:C4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1" sqref="A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294" t="s">
        <v>318</v>
      </c>
      <c r="B5" s="295"/>
      <c r="C5" s="296"/>
      <c r="D5" s="300"/>
      <c r="E5" s="301"/>
      <c r="F5" s="301"/>
      <c r="G5" s="301"/>
      <c r="H5" s="302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1586</v>
      </c>
      <c r="H7" s="23"/>
    </row>
    <row r="8" spans="1:8">
      <c r="A8" s="22" t="s">
        <v>1702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297" t="s">
        <v>283</v>
      </c>
      <c r="B11" s="298"/>
      <c r="C11" s="299"/>
      <c r="D11" s="299" t="s">
        <v>284</v>
      </c>
      <c r="E11" s="27" t="s">
        <v>285</v>
      </c>
      <c r="F11" s="299" t="s">
        <v>286</v>
      </c>
      <c r="G11" s="29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794.21200000000033</v>
      </c>
      <c r="H12" s="34"/>
    </row>
    <row r="13" spans="1:8">
      <c r="A13" s="303"/>
      <c r="B13" s="304"/>
      <c r="C13" s="305"/>
      <c r="D13" s="35"/>
      <c r="E13" s="36"/>
      <c r="F13" s="31"/>
      <c r="G13" s="33"/>
      <c r="H13" s="34"/>
    </row>
    <row r="14" spans="1:8">
      <c r="A14" s="303"/>
      <c r="B14" s="304"/>
      <c r="C14" s="305"/>
      <c r="D14" s="35"/>
      <c r="E14" s="36"/>
      <c r="F14" s="31"/>
      <c r="G14" s="33"/>
      <c r="H14" s="34"/>
    </row>
    <row r="15" spans="1:8">
      <c r="A15" s="303"/>
      <c r="B15" s="304"/>
      <c r="C15" s="305"/>
      <c r="D15" s="35"/>
      <c r="E15" s="36"/>
      <c r="F15" s="31"/>
      <c r="G15" s="33"/>
      <c r="H15" s="34"/>
    </row>
    <row r="16" spans="1:8" ht="15" thickBot="1">
      <c r="A16" s="306"/>
      <c r="B16" s="307"/>
      <c r="C16" s="308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794.21200000000033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09" t="s">
        <v>283</v>
      </c>
      <c r="B19" s="310"/>
      <c r="C19" s="311"/>
      <c r="D19" s="311" t="s">
        <v>291</v>
      </c>
      <c r="E19" s="311" t="s">
        <v>292</v>
      </c>
      <c r="F19" s="311" t="s">
        <v>293</v>
      </c>
      <c r="G19" s="310" t="s">
        <v>287</v>
      </c>
      <c r="H19" s="29"/>
    </row>
    <row r="20" spans="1:8">
      <c r="A20" s="86" t="s">
        <v>1703</v>
      </c>
      <c r="B20" s="46"/>
      <c r="C20" s="47"/>
      <c r="D20" s="100" t="s">
        <v>41</v>
      </c>
      <c r="E20" s="98">
        <f>+MATERIALES!E97</f>
        <v>72255</v>
      </c>
      <c r="F20" s="122">
        <v>1</v>
      </c>
      <c r="G20" s="96">
        <f>+E20*F20</f>
        <v>72255</v>
      </c>
      <c r="H20" s="21"/>
    </row>
    <row r="21" spans="1:8">
      <c r="A21" s="46" t="s">
        <v>1287</v>
      </c>
      <c r="B21" s="46"/>
      <c r="C21" s="47"/>
      <c r="D21" s="100" t="s">
        <v>1175</v>
      </c>
      <c r="E21" s="48">
        <f>MATERIALES!E28</f>
        <v>15181</v>
      </c>
      <c r="F21" s="122">
        <v>3.7461300309597489E-2</v>
      </c>
      <c r="G21" s="50">
        <f>+E21*F21</f>
        <v>568.69999999999948</v>
      </c>
      <c r="H21" s="21"/>
    </row>
    <row r="22" spans="1:8">
      <c r="A22" s="45" t="s">
        <v>1289</v>
      </c>
      <c r="B22" s="46"/>
      <c r="C22" s="47"/>
      <c r="D22" s="35" t="s">
        <v>41</v>
      </c>
      <c r="E22" s="101">
        <f>MATERIALES!E45</f>
        <v>17453.73</v>
      </c>
      <c r="F22" s="31">
        <v>7.8952751073839228E-2</v>
      </c>
      <c r="G22" s="67">
        <f>+E22*F22</f>
        <v>1378.02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1000</v>
      </c>
      <c r="B24" s="68"/>
      <c r="C24" s="63"/>
      <c r="D24" s="38" t="s">
        <v>41</v>
      </c>
      <c r="E24" s="39">
        <f>MATERIALES!E71</f>
        <v>742.33333333333337</v>
      </c>
      <c r="F24" s="40">
        <v>2</v>
      </c>
      <c r="G24" s="67">
        <f>+E24*F24</f>
        <v>1484.6666666666667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75847.386666666673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297" t="s">
        <v>295</v>
      </c>
      <c r="B27" s="299"/>
      <c r="C27" s="55" t="s">
        <v>296</v>
      </c>
      <c r="D27" s="299" t="s">
        <v>297</v>
      </c>
      <c r="E27" s="299" t="s">
        <v>298</v>
      </c>
      <c r="F27" s="29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297" t="s">
        <v>301</v>
      </c>
      <c r="B33" s="299"/>
      <c r="C33" s="299" t="s">
        <v>302</v>
      </c>
      <c r="D33" s="299" t="s">
        <v>303</v>
      </c>
      <c r="E33" s="85" t="s">
        <v>304</v>
      </c>
      <c r="F33" s="64" t="s">
        <v>286</v>
      </c>
      <c r="G33" s="29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5.236051286386912E-2</v>
      </c>
      <c r="G34" s="67">
        <f>+E34*F34</f>
        <v>4800.2900000000036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5.323065847240549E-2</v>
      </c>
      <c r="G35" s="67">
        <f>+E35*F35</f>
        <v>3141.8299999999995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7942.1200000000026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84583.718666666682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10"/>
      <c r="C42" s="310"/>
      <c r="D42" s="310"/>
      <c r="E42" s="311"/>
      <c r="F42" s="311" t="s">
        <v>308</v>
      </c>
      <c r="G42" s="31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12687.557800000002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4229.1859333333341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4229.1859333333341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21145.929666666671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105730</v>
      </c>
    </row>
  </sheetData>
  <mergeCells count="1">
    <mergeCell ref="A3:C4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1" sqref="A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1582</v>
      </c>
      <c r="H7" s="23"/>
    </row>
    <row r="8" spans="1:8">
      <c r="A8" s="22" t="s">
        <v>1704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1111.827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1111.827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 t="s">
        <v>1705</v>
      </c>
      <c r="B20" s="46"/>
      <c r="C20" s="47"/>
      <c r="D20" s="100" t="s">
        <v>41</v>
      </c>
      <c r="E20" s="98">
        <f>+MATERIALES!E98</f>
        <v>111311</v>
      </c>
      <c r="F20" s="122">
        <v>1</v>
      </c>
      <c r="G20" s="96">
        <f>+E20*F20</f>
        <v>111311</v>
      </c>
      <c r="H20" s="21"/>
    </row>
    <row r="21" spans="1:8">
      <c r="A21" s="45" t="s">
        <v>1287</v>
      </c>
      <c r="B21" s="46"/>
      <c r="C21" s="47"/>
      <c r="D21" s="30" t="s">
        <v>41</v>
      </c>
      <c r="E21" s="48">
        <f>MATERIALES!E28</f>
        <v>15181</v>
      </c>
      <c r="F21" s="31">
        <v>4.9947961267373692E-2</v>
      </c>
      <c r="G21" s="67">
        <f>+E21*F21</f>
        <v>758.26</v>
      </c>
      <c r="H21" s="21"/>
    </row>
    <row r="22" spans="1:8">
      <c r="A22" s="45" t="s">
        <v>1288</v>
      </c>
      <c r="B22" s="46"/>
      <c r="C22" s="47"/>
      <c r="D22" s="35" t="s">
        <v>41</v>
      </c>
      <c r="E22" s="101">
        <f>MATERIALES!E45</f>
        <v>17453.73</v>
      </c>
      <c r="F22" s="31">
        <v>0.10595213745142157</v>
      </c>
      <c r="G22" s="67">
        <f>+E22*F22</f>
        <v>1849.2600000000002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1002</v>
      </c>
      <c r="B24" s="68"/>
      <c r="C24" s="63"/>
      <c r="D24" s="38" t="s">
        <v>41</v>
      </c>
      <c r="E24" s="39">
        <f>MATERIALES!E72</f>
        <v>1551</v>
      </c>
      <c r="F24" s="40">
        <v>2</v>
      </c>
      <c r="G24" s="67">
        <f>+E24*F24</f>
        <v>3102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117181.51999999999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9.0777076401032372E-2</v>
      </c>
      <c r="G35" s="67">
        <f>+E35*F35</f>
        <v>5357.9299999999994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129411.617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19411.742549999999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6470.5808500000003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6470.5808500000003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32352.90425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161765</v>
      </c>
    </row>
  </sheetData>
  <mergeCells count="1">
    <mergeCell ref="A3:C4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1" sqref="A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1583</v>
      </c>
      <c r="H7" s="23"/>
    </row>
    <row r="8" spans="1:8">
      <c r="A8" s="22" t="s">
        <v>1706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1111.827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1111.827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 t="s">
        <v>1707</v>
      </c>
      <c r="B20" s="46"/>
      <c r="C20" s="47"/>
      <c r="D20" s="100" t="s">
        <v>41</v>
      </c>
      <c r="E20" s="98">
        <f>+MATERIALES!E99</f>
        <v>269030</v>
      </c>
      <c r="F20" s="122">
        <v>1</v>
      </c>
      <c r="G20" s="96">
        <f>+E20*F20</f>
        <v>269030</v>
      </c>
      <c r="H20" s="21"/>
    </row>
    <row r="21" spans="1:8">
      <c r="A21" s="45" t="s">
        <v>992</v>
      </c>
      <c r="B21" s="46"/>
      <c r="C21" s="47"/>
      <c r="D21" s="35" t="s">
        <v>41</v>
      </c>
      <c r="E21" s="101">
        <f>MATERIALES!E45</f>
        <v>17453.73</v>
      </c>
      <c r="F21" s="31">
        <v>8.0000000000000002E-3</v>
      </c>
      <c r="G21" s="67">
        <f>+E21*F21</f>
        <v>139.62984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1">
        <v>8.0000000000000002E-3</v>
      </c>
      <c r="G22" s="67">
        <f>+E22*F22</f>
        <v>121.44800000000001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1004</v>
      </c>
      <c r="B24" s="68"/>
      <c r="C24" s="63"/>
      <c r="D24" s="38" t="s">
        <v>41</v>
      </c>
      <c r="E24" s="39">
        <f>MATERIALES!E73</f>
        <v>5460</v>
      </c>
      <c r="F24" s="40">
        <v>2</v>
      </c>
      <c r="G24" s="67">
        <f>+E24*F24</f>
        <v>10920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280372.07783999998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9.0777076401032372E-2</v>
      </c>
      <c r="G35" s="67">
        <f>+E35*F35</f>
        <v>5357.9299999999994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292602.17483999999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43890.326225999997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14630.108742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14630.108742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73150.543709999998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365753</v>
      </c>
    </row>
  </sheetData>
  <mergeCells count="1">
    <mergeCell ref="A3:C4"/>
  </mergeCell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1585</v>
      </c>
      <c r="H7" s="23"/>
    </row>
    <row r="8" spans="1:8">
      <c r="A8" s="22" t="s">
        <v>1708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1709</v>
      </c>
      <c r="B21" s="46"/>
      <c r="C21" s="47"/>
      <c r="D21" s="100"/>
      <c r="E21" s="98">
        <f>+MATERIALES!E100</f>
        <v>566682</v>
      </c>
      <c r="F21" s="122">
        <v>1</v>
      </c>
      <c r="G21" s="96">
        <f>+E21*F21</f>
        <v>566682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566682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589762.30671445141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88464.346007167711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29488.11533572257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29488.11533572257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147440.57667861285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737203</v>
      </c>
    </row>
  </sheetData>
  <mergeCells count="1">
    <mergeCell ref="A3:C4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A22" sqref="A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1584</v>
      </c>
      <c r="H7" s="23"/>
    </row>
    <row r="8" spans="1:8">
      <c r="A8" s="22" t="s">
        <v>1710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1711</v>
      </c>
      <c r="B21" s="46"/>
      <c r="C21" s="47"/>
      <c r="D21" s="100"/>
      <c r="E21" s="98">
        <f>+MATERIALES!E101</f>
        <v>1375934</v>
      </c>
      <c r="F21" s="122">
        <v>1</v>
      </c>
      <c r="G21" s="96">
        <f>+E21*F21</f>
        <v>1375934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1375934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1399014.3067144514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209852.1460071677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69950.715335722576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69950.715335722576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349753.57667861285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1748768</v>
      </c>
    </row>
  </sheetData>
  <mergeCells count="1">
    <mergeCell ref="A3:C4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topLeftCell="A19" workbookViewId="0">
      <selection activeCell="E9" sqref="E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1589</v>
      </c>
      <c r="H7" s="23"/>
    </row>
    <row r="8" spans="1:8">
      <c r="A8" s="22" t="s">
        <v>1551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794.21200000000033</v>
      </c>
      <c r="H12" s="34"/>
    </row>
    <row r="13" spans="1:8">
      <c r="A13" s="1048"/>
      <c r="B13" s="1049"/>
      <c r="C13" s="1050"/>
      <c r="D13" s="35"/>
      <c r="E13" s="36"/>
      <c r="F13" s="31"/>
      <c r="G13" s="33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 ht="15" thickBot="1">
      <c r="A16" s="1051"/>
      <c r="B16" s="1052"/>
      <c r="C16" s="1053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794.21200000000033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057" t="s">
        <v>283</v>
      </c>
      <c r="B19" s="1058"/>
      <c r="C19" s="1059"/>
      <c r="D19" s="1059" t="s">
        <v>291</v>
      </c>
      <c r="E19" s="1059" t="s">
        <v>292</v>
      </c>
      <c r="F19" s="1059" t="s">
        <v>293</v>
      </c>
      <c r="G19" s="388" t="s">
        <v>287</v>
      </c>
      <c r="H19" s="484"/>
    </row>
    <row r="20" spans="1:8">
      <c r="A20" s="45" t="s">
        <v>1532</v>
      </c>
      <c r="B20" s="46"/>
      <c r="C20" s="47"/>
      <c r="D20" s="100" t="s">
        <v>1175</v>
      </c>
      <c r="E20" s="98">
        <f>+MATERIALES!E102</f>
        <v>4573</v>
      </c>
      <c r="F20" s="122">
        <v>1</v>
      </c>
      <c r="G20" s="485">
        <f>+E20*F20</f>
        <v>4573</v>
      </c>
      <c r="H20" s="21"/>
    </row>
    <row r="21" spans="1:8">
      <c r="A21" s="45" t="s">
        <v>1287</v>
      </c>
      <c r="B21" s="46"/>
      <c r="C21" s="47"/>
      <c r="D21" s="30" t="s">
        <v>41</v>
      </c>
      <c r="E21" s="48">
        <f>MATERIALES!E28</f>
        <v>15181</v>
      </c>
      <c r="F21" s="31">
        <v>2.6348725380409728E-2</v>
      </c>
      <c r="G21" s="67">
        <f>+E21*F21</f>
        <v>400.00000000000006</v>
      </c>
      <c r="H21" s="21"/>
    </row>
    <row r="22" spans="1:8">
      <c r="A22" s="45" t="s">
        <v>1288</v>
      </c>
      <c r="B22" s="46"/>
      <c r="C22" s="47"/>
      <c r="D22" s="35" t="s">
        <v>41</v>
      </c>
      <c r="E22" s="101">
        <f>MATERIALES!E45</f>
        <v>17453.73</v>
      </c>
      <c r="F22" s="31">
        <v>5.2635167382559481E-2</v>
      </c>
      <c r="G22" s="67">
        <f>+E22*F22</f>
        <v>918.67999999999984</v>
      </c>
      <c r="H22" s="21"/>
    </row>
    <row r="23" spans="1:8">
      <c r="A23" s="86" t="s">
        <v>998</v>
      </c>
      <c r="B23" s="46"/>
      <c r="C23" s="47"/>
      <c r="D23" s="30" t="s">
        <v>41</v>
      </c>
      <c r="E23" s="48">
        <f>MATERIALES!E70</f>
        <v>407.66666666666669</v>
      </c>
      <c r="F23" s="31">
        <v>2</v>
      </c>
      <c r="G23" s="67">
        <f>+E23*F23</f>
        <v>815.33333333333337</v>
      </c>
      <c r="H23" s="21"/>
    </row>
    <row r="24" spans="1:8" ht="15" thickBot="1">
      <c r="A24" s="87" t="s">
        <v>993</v>
      </c>
      <c r="B24" s="88"/>
      <c r="C24" s="89"/>
      <c r="D24" s="94" t="s">
        <v>41</v>
      </c>
      <c r="E24" s="897">
        <f>MATERIALES!E15</f>
        <v>7726.2733333333335</v>
      </c>
      <c r="F24" s="40">
        <v>2.0837989164245625E-2</v>
      </c>
      <c r="G24" s="67">
        <f>+E24*F24</f>
        <v>160.99999999999994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82">
        <f>SUM(G20:G24)</f>
        <v>6868.0133333333333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5.236051286386912E-2</v>
      </c>
      <c r="G34" s="67">
        <f>+E34*F34</f>
        <v>4800.2900000000036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5.323065847240549E-2</v>
      </c>
      <c r="G35" s="67">
        <f>+E35*F35</f>
        <v>3141.8299999999995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7942.1200000000026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15604.345333333336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2340.6518000000005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780.21726666666689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780.21726666666689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3901.0863333333346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19505</v>
      </c>
    </row>
  </sheetData>
  <mergeCells count="1">
    <mergeCell ref="A3: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H39"/>
  <sheetViews>
    <sheetView zoomScaleNormal="100" workbookViewId="0">
      <selection activeCell="L32" sqref="L32"/>
    </sheetView>
  </sheetViews>
  <sheetFormatPr baseColWidth="10" defaultColWidth="11.44140625" defaultRowHeight="13.2"/>
  <cols>
    <col min="1" max="1" width="4.6640625" style="947" customWidth="1"/>
    <col min="2" max="2" width="50.88671875" style="949" customWidth="1"/>
    <col min="3" max="3" width="10.33203125" style="949" customWidth="1"/>
    <col min="4" max="4" width="18" style="949" bestFit="1" customWidth="1"/>
    <col min="5" max="5" width="16" style="949" customWidth="1"/>
    <col min="6" max="6" width="16" style="362" bestFit="1" customWidth="1"/>
    <col min="7" max="7" width="14.6640625" style="362" customWidth="1"/>
    <col min="8" max="8" width="15.109375" style="949" bestFit="1" customWidth="1"/>
    <col min="9" max="16384" width="11.44140625" style="949"/>
  </cols>
  <sheetData>
    <row r="1" spans="1:8" ht="27" thickBot="1">
      <c r="A1" s="948" t="s">
        <v>330</v>
      </c>
      <c r="B1" s="948" t="s">
        <v>277</v>
      </c>
      <c r="C1" s="948" t="s">
        <v>0</v>
      </c>
      <c r="D1" s="948" t="s">
        <v>1265</v>
      </c>
      <c r="E1" s="948" t="s">
        <v>1262</v>
      </c>
      <c r="F1" s="948" t="s">
        <v>1263</v>
      </c>
      <c r="G1" s="948" t="s">
        <v>1264</v>
      </c>
    </row>
    <row r="2" spans="1:8">
      <c r="A2" s="974">
        <v>1</v>
      </c>
      <c r="B2" s="958" t="s">
        <v>1379</v>
      </c>
      <c r="C2" s="959" t="s">
        <v>1232</v>
      </c>
      <c r="D2" s="961">
        <f t="shared" ref="D2:D17" si="0">ROUNDUP(AVERAGE(E2:G2),0)</f>
        <v>66967</v>
      </c>
      <c r="E2" s="968">
        <v>53550</v>
      </c>
      <c r="F2" s="965">
        <v>77350</v>
      </c>
      <c r="G2" s="965">
        <v>70000</v>
      </c>
      <c r="H2" s="964"/>
    </row>
    <row r="3" spans="1:8">
      <c r="A3" s="1100"/>
      <c r="B3" s="1101" t="s">
        <v>1672</v>
      </c>
      <c r="C3" s="1102" t="s">
        <v>1243</v>
      </c>
      <c r="D3" s="662">
        <f t="shared" si="0"/>
        <v>82052</v>
      </c>
      <c r="E3" s="1103">
        <v>82052</v>
      </c>
      <c r="F3" s="1104"/>
      <c r="G3" s="1104"/>
      <c r="H3" s="964"/>
    </row>
    <row r="4" spans="1:8">
      <c r="A4" s="661">
        <v>2</v>
      </c>
      <c r="B4" s="649" t="s">
        <v>1430</v>
      </c>
      <c r="C4" s="653" t="s">
        <v>1243</v>
      </c>
      <c r="D4" s="662">
        <f t="shared" si="0"/>
        <v>148400</v>
      </c>
      <c r="E4" s="969">
        <v>180000</v>
      </c>
      <c r="F4" s="945">
        <v>95200</v>
      </c>
      <c r="G4" s="945">
        <v>170000</v>
      </c>
    </row>
    <row r="5" spans="1:8" s="954" customFormat="1">
      <c r="A5" s="661">
        <v>3</v>
      </c>
      <c r="B5" s="650" t="s">
        <v>1383</v>
      </c>
      <c r="C5" s="652" t="s">
        <v>1243</v>
      </c>
      <c r="D5" s="662">
        <f t="shared" si="0"/>
        <v>157367</v>
      </c>
      <c r="E5" s="946">
        <v>150000</v>
      </c>
      <c r="F5" s="945">
        <v>107100</v>
      </c>
      <c r="G5" s="945">
        <v>215000</v>
      </c>
      <c r="H5" s="949"/>
    </row>
    <row r="6" spans="1:8" s="954" customFormat="1">
      <c r="A6" s="661">
        <v>4</v>
      </c>
      <c r="B6" s="650" t="s">
        <v>1386</v>
      </c>
      <c r="C6" s="652" t="s">
        <v>1232</v>
      </c>
      <c r="D6" s="662">
        <f t="shared" si="0"/>
        <v>84117</v>
      </c>
      <c r="E6" s="946">
        <v>85000</v>
      </c>
      <c r="F6" s="945">
        <v>77350</v>
      </c>
      <c r="G6" s="945">
        <v>90000</v>
      </c>
      <c r="H6" s="949"/>
    </row>
    <row r="7" spans="1:8">
      <c r="A7" s="661">
        <v>5</v>
      </c>
      <c r="B7" s="650" t="s">
        <v>1384</v>
      </c>
      <c r="C7" s="652" t="s">
        <v>1256</v>
      </c>
      <c r="D7" s="662">
        <f t="shared" si="0"/>
        <v>5959</v>
      </c>
      <c r="E7" s="946">
        <v>4522</v>
      </c>
      <c r="F7" s="945">
        <v>5355</v>
      </c>
      <c r="G7" s="945">
        <v>8000</v>
      </c>
    </row>
    <row r="8" spans="1:8">
      <c r="A8" s="653">
        <v>6</v>
      </c>
      <c r="B8" s="649" t="s">
        <v>1139</v>
      </c>
      <c r="C8" s="653" t="s">
        <v>1232</v>
      </c>
      <c r="D8" s="662">
        <f t="shared" si="0"/>
        <v>25400</v>
      </c>
      <c r="E8" s="946">
        <v>28000</v>
      </c>
      <c r="F8" s="945">
        <f>20000*1.16</f>
        <v>23200</v>
      </c>
      <c r="G8" s="945">
        <v>25000</v>
      </c>
    </row>
    <row r="9" spans="1:8" s="960" customFormat="1">
      <c r="A9" s="661">
        <v>7</v>
      </c>
      <c r="B9" s="650" t="s">
        <v>1431</v>
      </c>
      <c r="C9" s="653" t="s">
        <v>1243</v>
      </c>
      <c r="D9" s="662">
        <f>ROUNDUP(AVERAGE(E9:G9),0)</f>
        <v>7500</v>
      </c>
      <c r="E9" s="946">
        <f>60000/8</f>
        <v>7500</v>
      </c>
      <c r="F9" s="945">
        <f>60000/8</f>
        <v>7500</v>
      </c>
      <c r="G9" s="945">
        <f>60000/8</f>
        <v>7500</v>
      </c>
      <c r="H9" s="949"/>
    </row>
    <row r="10" spans="1:8">
      <c r="A10" s="661">
        <v>8</v>
      </c>
      <c r="B10" s="650" t="s">
        <v>1380</v>
      </c>
      <c r="C10" s="652" t="s">
        <v>1243</v>
      </c>
      <c r="D10" s="662">
        <f t="shared" si="0"/>
        <v>40267</v>
      </c>
      <c r="E10" s="946">
        <v>38080</v>
      </c>
      <c r="F10" s="945">
        <v>45220</v>
      </c>
      <c r="G10" s="966">
        <v>37500</v>
      </c>
    </row>
    <row r="11" spans="1:8">
      <c r="A11" s="661">
        <v>9</v>
      </c>
      <c r="B11" s="650" t="s">
        <v>1049</v>
      </c>
      <c r="C11" s="652" t="s">
        <v>1232</v>
      </c>
      <c r="D11" s="662">
        <f t="shared" si="0"/>
        <v>51177</v>
      </c>
      <c r="E11" s="946">
        <v>53550</v>
      </c>
      <c r="F11" s="945">
        <v>49980</v>
      </c>
      <c r="G11" s="945">
        <v>50000</v>
      </c>
    </row>
    <row r="12" spans="1:8" s="954" customFormat="1">
      <c r="A12" s="661">
        <v>10</v>
      </c>
      <c r="B12" s="650" t="s">
        <v>271</v>
      </c>
      <c r="C12" s="652" t="s">
        <v>1243</v>
      </c>
      <c r="D12" s="662">
        <f t="shared" si="0"/>
        <v>154900</v>
      </c>
      <c r="E12" s="946">
        <v>150000</v>
      </c>
      <c r="F12" s="945">
        <v>154700</v>
      </c>
      <c r="G12" s="945">
        <v>160000</v>
      </c>
      <c r="H12" s="949"/>
    </row>
    <row r="13" spans="1:8">
      <c r="A13" s="661">
        <v>11</v>
      </c>
      <c r="B13" s="650" t="s">
        <v>1381</v>
      </c>
      <c r="C13" s="652" t="s">
        <v>1232</v>
      </c>
      <c r="D13" s="662">
        <f t="shared" si="0"/>
        <v>40267</v>
      </c>
      <c r="E13" s="946">
        <v>38080</v>
      </c>
      <c r="F13" s="945">
        <v>45220</v>
      </c>
      <c r="G13" s="966">
        <v>37500</v>
      </c>
    </row>
    <row r="14" spans="1:8" s="954" customFormat="1">
      <c r="A14" s="661">
        <v>12</v>
      </c>
      <c r="B14" s="649" t="s">
        <v>1382</v>
      </c>
      <c r="C14" s="653" t="s">
        <v>1243</v>
      </c>
      <c r="D14" s="662">
        <f t="shared" si="0"/>
        <v>115700</v>
      </c>
      <c r="E14" s="946">
        <v>120000</v>
      </c>
      <c r="F14" s="945">
        <v>107100</v>
      </c>
      <c r="G14" s="945">
        <v>120000</v>
      </c>
      <c r="H14" s="949"/>
    </row>
    <row r="15" spans="1:8" s="954" customFormat="1">
      <c r="A15" s="653">
        <v>13</v>
      </c>
      <c r="B15" s="649" t="s">
        <v>278</v>
      </c>
      <c r="C15" s="653" t="s">
        <v>1243</v>
      </c>
      <c r="D15" s="662">
        <f t="shared" si="0"/>
        <v>267434</v>
      </c>
      <c r="E15" s="946">
        <v>250000</v>
      </c>
      <c r="F15" s="945">
        <v>202300</v>
      </c>
      <c r="G15" s="945">
        <v>350000</v>
      </c>
      <c r="H15" s="949"/>
    </row>
    <row r="16" spans="1:8">
      <c r="A16" s="661">
        <v>14</v>
      </c>
      <c r="B16" s="650" t="s">
        <v>1244</v>
      </c>
      <c r="C16" s="652" t="s">
        <v>1245</v>
      </c>
      <c r="D16" s="662">
        <f t="shared" si="0"/>
        <v>41457</v>
      </c>
      <c r="E16" s="946">
        <v>41650</v>
      </c>
      <c r="F16" s="945">
        <v>45220</v>
      </c>
      <c r="G16" s="966">
        <v>37500</v>
      </c>
    </row>
    <row r="17" spans="1:8" s="954" customFormat="1">
      <c r="A17" s="661">
        <v>15</v>
      </c>
      <c r="B17" s="650" t="s">
        <v>270</v>
      </c>
      <c r="C17" s="652" t="s">
        <v>1243</v>
      </c>
      <c r="D17" s="662">
        <f t="shared" si="0"/>
        <v>105700</v>
      </c>
      <c r="E17" s="946">
        <v>100000</v>
      </c>
      <c r="F17" s="945">
        <v>107100</v>
      </c>
      <c r="G17" s="945">
        <v>110000</v>
      </c>
      <c r="H17" s="949"/>
    </row>
    <row r="18" spans="1:8" s="960" customFormat="1" ht="15.6">
      <c r="A18" s="653">
        <v>16</v>
      </c>
      <c r="B18" s="649" t="s">
        <v>1143</v>
      </c>
      <c r="C18" s="653" t="s">
        <v>1419</v>
      </c>
      <c r="D18" s="662">
        <f>ROUNDUP(AVERAGE(E18:G18),0)</f>
        <v>1250</v>
      </c>
      <c r="E18" s="1117">
        <f>1000*1.16</f>
        <v>1160</v>
      </c>
      <c r="F18" s="1115">
        <v>1339.9999999999998</v>
      </c>
      <c r="G18" s="1116"/>
      <c r="H18" s="971"/>
    </row>
    <row r="19" spans="1:8" s="954" customFormat="1" ht="16.2" thickBot="1">
      <c r="A19" s="975">
        <v>17</v>
      </c>
      <c r="B19" s="972" t="s">
        <v>1429</v>
      </c>
      <c r="C19" s="973" t="s">
        <v>1243</v>
      </c>
      <c r="D19" s="962">
        <f>ROUNDUP(AVERAGE(E19:G19),0)</f>
        <v>57709</v>
      </c>
      <c r="E19" s="963">
        <v>60000</v>
      </c>
      <c r="F19" s="970">
        <v>74375</v>
      </c>
      <c r="G19" s="970">
        <f>310000/8</f>
        <v>38750</v>
      </c>
      <c r="H19" s="949"/>
    </row>
    <row r="20" spans="1:8">
      <c r="F20" s="949"/>
      <c r="G20" s="949"/>
    </row>
    <row r="22" spans="1:8">
      <c r="F22" s="949"/>
      <c r="G22" s="949"/>
    </row>
    <row r="23" spans="1:8">
      <c r="F23" s="949"/>
      <c r="G23" s="949"/>
    </row>
    <row r="24" spans="1:8">
      <c r="F24" s="949"/>
      <c r="G24" s="949"/>
    </row>
    <row r="25" spans="1:8">
      <c r="F25" s="949"/>
      <c r="G25" s="949"/>
    </row>
    <row r="26" spans="1:8">
      <c r="F26" s="949"/>
      <c r="G26" s="949"/>
    </row>
    <row r="27" spans="1:8">
      <c r="F27" s="949"/>
      <c r="G27" s="949"/>
    </row>
    <row r="28" spans="1:8">
      <c r="F28" s="949"/>
      <c r="G28" s="967"/>
    </row>
    <row r="29" spans="1:8">
      <c r="F29" s="949"/>
      <c r="G29" s="949"/>
    </row>
    <row r="30" spans="1:8">
      <c r="F30" s="949"/>
      <c r="G30" s="949"/>
    </row>
    <row r="31" spans="1:8">
      <c r="F31" s="949"/>
      <c r="G31" s="949"/>
    </row>
    <row r="32" spans="1:8">
      <c r="F32" s="949"/>
      <c r="G32" s="949"/>
    </row>
    <row r="33" spans="6:7">
      <c r="F33" s="949"/>
      <c r="G33" s="949"/>
    </row>
    <row r="34" spans="6:7" ht="15" customHeight="1">
      <c r="F34" s="949"/>
      <c r="G34" s="949"/>
    </row>
    <row r="35" spans="6:7" ht="15" customHeight="1">
      <c r="F35" s="949"/>
      <c r="G35" s="949"/>
    </row>
    <row r="36" spans="6:7" ht="15" customHeight="1">
      <c r="F36" s="949"/>
      <c r="G36" s="949"/>
    </row>
    <row r="37" spans="6:7" ht="15" customHeight="1">
      <c r="F37" s="949"/>
      <c r="G37" s="949"/>
    </row>
    <row r="38" spans="6:7" ht="15" customHeight="1">
      <c r="F38" s="949"/>
      <c r="G38" s="949"/>
    </row>
    <row r="39" spans="6:7" ht="15" customHeight="1">
      <c r="F39" s="949"/>
      <c r="G39" s="949"/>
    </row>
  </sheetData>
  <autoFilter ref="A1:G19"/>
  <pageMargins left="0.7" right="0.7" top="0.75" bottom="0.75" header="0.3" footer="0.3"/>
  <pageSetup paperSize="9" scale="9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topLeftCell="A19" workbookViewId="0">
      <selection activeCell="D37" sqref="D37"/>
    </sheetView>
  </sheetViews>
  <sheetFormatPr baseColWidth="10" defaultRowHeight="14.4"/>
  <cols>
    <col min="3" max="3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371</v>
      </c>
      <c r="B7" s="24"/>
      <c r="C7" s="23"/>
      <c r="D7" s="2"/>
      <c r="E7" s="24"/>
      <c r="F7" s="2"/>
      <c r="G7" s="24" t="s">
        <v>370</v>
      </c>
      <c r="H7" s="23"/>
    </row>
    <row r="8" spans="1:8">
      <c r="A8" s="22" t="s">
        <v>361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29" t="s">
        <v>284</v>
      </c>
      <c r="E11" s="27" t="s">
        <v>285</v>
      </c>
      <c r="F11" s="129" t="s">
        <v>286</v>
      </c>
      <c r="G11" s="128" t="s">
        <v>287</v>
      </c>
      <c r="H11" s="29"/>
    </row>
    <row r="12" spans="1:8">
      <c r="A12" s="1191" t="s">
        <v>834</v>
      </c>
      <c r="B12" s="1192"/>
      <c r="C12" s="1193"/>
      <c r="D12" s="30"/>
      <c r="E12" s="48"/>
      <c r="F12" s="120"/>
      <c r="G12" s="33">
        <f>H38*10%</f>
        <v>3768.5156072427853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3768.5156072427853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1" t="s">
        <v>291</v>
      </c>
      <c r="E20" s="131" t="s">
        <v>292</v>
      </c>
      <c r="F20" s="131" t="s">
        <v>293</v>
      </c>
      <c r="G20" s="1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29" t="s">
        <v>297</v>
      </c>
      <c r="E27" s="129" t="s">
        <v>298</v>
      </c>
      <c r="F27" s="12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29" t="s">
        <v>302</v>
      </c>
      <c r="D33" s="129" t="s">
        <v>303</v>
      </c>
      <c r="E33" s="85" t="s">
        <v>304</v>
      </c>
      <c r="F33" s="64" t="s">
        <v>286</v>
      </c>
      <c r="G33" s="128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C34*D34</f>
        <v>118045.88145866009</v>
      </c>
      <c r="F34" s="59">
        <v>0.31924160001825452</v>
      </c>
      <c r="G34" s="67">
        <f>E34*F34</f>
        <v>37685.156072427853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37685.156072427853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41453.671679670639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1" t="s">
        <v>308</v>
      </c>
      <c r="G42" s="1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6218.0507519505954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2072.6835839835321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2072.6835839835321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10363.417919917661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51817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1588</v>
      </c>
      <c r="H7" s="23"/>
    </row>
    <row r="8" spans="1:8">
      <c r="A8" s="22" t="s">
        <v>1552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794.21200000000033</v>
      </c>
      <c r="H12" s="34"/>
    </row>
    <row r="13" spans="1:8">
      <c r="A13" s="1048"/>
      <c r="B13" s="1049"/>
      <c r="C13" s="1050"/>
      <c r="D13" s="35"/>
      <c r="E13" s="36"/>
      <c r="F13" s="31"/>
      <c r="G13" s="33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 ht="15" thickBot="1">
      <c r="A16" s="1051"/>
      <c r="B16" s="1052"/>
      <c r="C16" s="1053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794.21200000000033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057" t="s">
        <v>283</v>
      </c>
      <c r="B19" s="1058"/>
      <c r="C19" s="1059"/>
      <c r="D19" s="1059" t="s">
        <v>291</v>
      </c>
      <c r="E19" s="1059" t="s">
        <v>292</v>
      </c>
      <c r="F19" s="1059" t="s">
        <v>293</v>
      </c>
      <c r="G19" s="1058" t="s">
        <v>287</v>
      </c>
      <c r="H19" s="29"/>
    </row>
    <row r="20" spans="1:8">
      <c r="A20" s="86" t="s">
        <v>1533</v>
      </c>
      <c r="B20" s="46"/>
      <c r="C20" s="47"/>
      <c r="D20" s="100" t="s">
        <v>41</v>
      </c>
      <c r="E20" s="98">
        <f>+MATERIALES!E103</f>
        <v>9135</v>
      </c>
      <c r="F20" s="122">
        <v>1</v>
      </c>
      <c r="G20" s="96">
        <f>+E20*F20</f>
        <v>9135</v>
      </c>
      <c r="H20" s="21"/>
    </row>
    <row r="21" spans="1:8">
      <c r="A21" s="46" t="s">
        <v>1287</v>
      </c>
      <c r="B21" s="46"/>
      <c r="C21" s="47"/>
      <c r="D21" s="100" t="s">
        <v>1175</v>
      </c>
      <c r="E21" s="48">
        <f>MATERIALES!E28</f>
        <v>15181</v>
      </c>
      <c r="F21" s="122">
        <v>3.7461300309597489E-2</v>
      </c>
      <c r="G21" s="50">
        <f>+E21*F21</f>
        <v>568.69999999999948</v>
      </c>
      <c r="H21" s="21"/>
    </row>
    <row r="22" spans="1:8">
      <c r="A22" s="45" t="s">
        <v>1289</v>
      </c>
      <c r="B22" s="46"/>
      <c r="C22" s="47"/>
      <c r="D22" s="35" t="s">
        <v>41</v>
      </c>
      <c r="E22" s="101">
        <f>MATERIALES!E45</f>
        <v>17453.73</v>
      </c>
      <c r="F22" s="31">
        <v>7.8952751073839228E-2</v>
      </c>
      <c r="G22" s="67">
        <f>+E22*F22</f>
        <v>1378.02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1000</v>
      </c>
      <c r="B24" s="68"/>
      <c r="C24" s="63"/>
      <c r="D24" s="38" t="s">
        <v>41</v>
      </c>
      <c r="E24" s="39">
        <f>MATERIALES!E71</f>
        <v>742.33333333333337</v>
      </c>
      <c r="F24" s="40">
        <v>2</v>
      </c>
      <c r="G24" s="67">
        <f>+E24*F24</f>
        <v>1484.6666666666667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12727.386666666665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5.236051286386912E-2</v>
      </c>
      <c r="G34" s="67">
        <f>+E34*F34</f>
        <v>4800.2900000000036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5.323065847240549E-2</v>
      </c>
      <c r="G35" s="67">
        <f>+E35*F35</f>
        <v>3141.8299999999995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7942.1200000000026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21463.718666666668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3219.5578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1073.1859333333334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1073.1859333333334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5365.9296666666669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26830</v>
      </c>
    </row>
  </sheetData>
  <mergeCells count="1">
    <mergeCell ref="A3:C4"/>
  </mergeCell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1590</v>
      </c>
      <c r="H7" s="23"/>
    </row>
    <row r="8" spans="1:8">
      <c r="A8" s="22" t="s">
        <v>1553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1111.827</v>
      </c>
      <c r="H12" s="34"/>
    </row>
    <row r="13" spans="1:8">
      <c r="A13" s="1048"/>
      <c r="B13" s="1049"/>
      <c r="C13" s="1050"/>
      <c r="D13" s="35"/>
      <c r="E13" s="36"/>
      <c r="F13" s="31"/>
      <c r="G13" s="33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 ht="15" thickBot="1">
      <c r="A16" s="1051"/>
      <c r="B16" s="1052"/>
      <c r="C16" s="1053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1111.827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057" t="s">
        <v>283</v>
      </c>
      <c r="B19" s="1058"/>
      <c r="C19" s="1059"/>
      <c r="D19" s="1059" t="s">
        <v>291</v>
      </c>
      <c r="E19" s="1059" t="s">
        <v>292</v>
      </c>
      <c r="F19" s="1059" t="s">
        <v>293</v>
      </c>
      <c r="G19" s="1058" t="s">
        <v>287</v>
      </c>
      <c r="H19" s="29"/>
    </row>
    <row r="20" spans="1:8">
      <c r="A20" s="86" t="s">
        <v>1534</v>
      </c>
      <c r="B20" s="46"/>
      <c r="C20" s="47"/>
      <c r="D20" s="100" t="s">
        <v>41</v>
      </c>
      <c r="E20" s="98">
        <f>+MATERIALES!E104</f>
        <v>12701</v>
      </c>
      <c r="F20" s="122">
        <v>1</v>
      </c>
      <c r="G20" s="96">
        <f>+E20*F20</f>
        <v>12701</v>
      </c>
      <c r="H20" s="21"/>
    </row>
    <row r="21" spans="1:8">
      <c r="A21" s="45" t="s">
        <v>1287</v>
      </c>
      <c r="B21" s="46"/>
      <c r="C21" s="47"/>
      <c r="D21" s="30" t="s">
        <v>41</v>
      </c>
      <c r="E21" s="48">
        <f>MATERIALES!E28</f>
        <v>15181</v>
      </c>
      <c r="F21" s="31">
        <v>4.9947961267373692E-2</v>
      </c>
      <c r="G21" s="67">
        <f>+E21*F21</f>
        <v>758.26</v>
      </c>
      <c r="H21" s="21"/>
    </row>
    <row r="22" spans="1:8">
      <c r="A22" s="45" t="s">
        <v>1288</v>
      </c>
      <c r="B22" s="46"/>
      <c r="C22" s="47"/>
      <c r="D22" s="35" t="s">
        <v>41</v>
      </c>
      <c r="E22" s="101">
        <f>MATERIALES!E45</f>
        <v>17453.73</v>
      </c>
      <c r="F22" s="31">
        <v>0.10595213745142157</v>
      </c>
      <c r="G22" s="67">
        <f>+E22*F22</f>
        <v>1849.2600000000002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1002</v>
      </c>
      <c r="B24" s="68"/>
      <c r="C24" s="63"/>
      <c r="D24" s="38" t="s">
        <v>41</v>
      </c>
      <c r="E24" s="39">
        <f>MATERIALES!E72</f>
        <v>1551</v>
      </c>
      <c r="F24" s="40">
        <v>2</v>
      </c>
      <c r="G24" s="67">
        <f>+E24*F24</f>
        <v>3102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18571.52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9.0777076401032372E-2</v>
      </c>
      <c r="G35" s="67">
        <f>+E35*F35</f>
        <v>5357.9299999999994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30801.617000000002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4620.2425499999999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1540.0808500000003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1540.0808500000003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7700.4042500000005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38502</v>
      </c>
    </row>
  </sheetData>
  <mergeCells count="1">
    <mergeCell ref="A3:C4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E20" sqref="E2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1591</v>
      </c>
      <c r="H7" s="23"/>
    </row>
    <row r="8" spans="1:8">
      <c r="A8" s="22" t="s">
        <v>1554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1111.827</v>
      </c>
      <c r="H12" s="34"/>
    </row>
    <row r="13" spans="1:8">
      <c r="A13" s="1048"/>
      <c r="B13" s="1049"/>
      <c r="C13" s="1050"/>
      <c r="D13" s="35"/>
      <c r="E13" s="36"/>
      <c r="F13" s="31"/>
      <c r="G13" s="33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 ht="15" thickBot="1">
      <c r="A16" s="1051"/>
      <c r="B16" s="1052"/>
      <c r="C16" s="1053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1111.827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057" t="s">
        <v>283</v>
      </c>
      <c r="B19" s="1058"/>
      <c r="C19" s="1059"/>
      <c r="D19" s="1059" t="s">
        <v>291</v>
      </c>
      <c r="E19" s="1059" t="s">
        <v>292</v>
      </c>
      <c r="F19" s="1059" t="s">
        <v>293</v>
      </c>
      <c r="G19" s="1058" t="s">
        <v>287</v>
      </c>
      <c r="H19" s="29"/>
    </row>
    <row r="20" spans="1:8">
      <c r="A20" s="86" t="s">
        <v>1535</v>
      </c>
      <c r="B20" s="46"/>
      <c r="C20" s="47"/>
      <c r="D20" s="100" t="s">
        <v>41</v>
      </c>
      <c r="E20" s="98">
        <f>+MATERIALES!E105</f>
        <v>27797</v>
      </c>
      <c r="F20" s="122">
        <v>1</v>
      </c>
      <c r="G20" s="96">
        <f>+E20*F20</f>
        <v>27797</v>
      </c>
      <c r="H20" s="21"/>
    </row>
    <row r="21" spans="1:8">
      <c r="A21" s="45" t="s">
        <v>992</v>
      </c>
      <c r="B21" s="46"/>
      <c r="C21" s="47"/>
      <c r="D21" s="35" t="s">
        <v>41</v>
      </c>
      <c r="E21" s="101">
        <f>MATERIALES!E45</f>
        <v>17453.73</v>
      </c>
      <c r="F21" s="31">
        <v>8.0000000000000002E-3</v>
      </c>
      <c r="G21" s="67">
        <f>+E21*F21</f>
        <v>139.62984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1">
        <v>8.0000000000000002E-3</v>
      </c>
      <c r="G22" s="67">
        <f>+E22*F22</f>
        <v>121.44800000000001</v>
      </c>
      <c r="H22" s="21"/>
    </row>
    <row r="23" spans="1:8" ht="15" thickBot="1">
      <c r="A23" s="45" t="s">
        <v>993</v>
      </c>
      <c r="B23" s="46"/>
      <c r="C23" s="47"/>
      <c r="D23" s="30" t="s">
        <v>41</v>
      </c>
      <c r="E23" s="48">
        <f>MATERIALES!E15</f>
        <v>7726.2733333333335</v>
      </c>
      <c r="F23" s="40">
        <v>2.0837989164245625E-2</v>
      </c>
      <c r="G23" s="67">
        <f>+E23*F23</f>
        <v>160.99999999999994</v>
      </c>
      <c r="H23" s="21"/>
    </row>
    <row r="24" spans="1:8" ht="15" thickBot="1">
      <c r="A24" s="62" t="s">
        <v>1004</v>
      </c>
      <c r="B24" s="68"/>
      <c r="C24" s="63"/>
      <c r="D24" s="38" t="s">
        <v>41</v>
      </c>
      <c r="E24" s="39">
        <f>MATERIALES!E73</f>
        <v>5460</v>
      </c>
      <c r="F24" s="40">
        <v>2</v>
      </c>
      <c r="G24" s="67">
        <f>+E24*F24</f>
        <v>10920</v>
      </c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39139.077839999998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+SALARIOS!D51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31">
        <v>9.0777076401032372E-2</v>
      </c>
      <c r="G35" s="67">
        <f>+E35*F35</f>
        <v>5357.9299999999994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51369.174839999992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7705.3762259999985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2568.4587419999998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2568.4587419999998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12842.293709999998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64211</v>
      </c>
    </row>
  </sheetData>
  <mergeCells count="1">
    <mergeCell ref="A3:C4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1593</v>
      </c>
      <c r="H7" s="23"/>
    </row>
    <row r="8" spans="1:8">
      <c r="A8" s="22" t="s">
        <v>1555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>
      <c r="A21" s="86" t="s">
        <v>1536</v>
      </c>
      <c r="B21" s="46"/>
      <c r="C21" s="47"/>
      <c r="D21" s="100"/>
      <c r="E21" s="98">
        <f>+MATERIALES!E106</f>
        <v>59117</v>
      </c>
      <c r="F21" s="122">
        <v>1</v>
      </c>
      <c r="G21" s="96">
        <f>+E21*F21</f>
        <v>59117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59117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82197.306714451348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12329.596007167702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4109.8653357225676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4109.8653357225676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20549.326678612837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102747</v>
      </c>
    </row>
  </sheetData>
  <mergeCells count="1">
    <mergeCell ref="A3:C4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1592</v>
      </c>
      <c r="H7" s="23"/>
    </row>
    <row r="8" spans="1:8">
      <c r="A8" s="22" t="s">
        <v>1556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>
      <c r="A21" s="86" t="s">
        <v>1537</v>
      </c>
      <c r="B21" s="46"/>
      <c r="C21" s="47"/>
      <c r="D21" s="100"/>
      <c r="E21" s="98">
        <f>+MATERIALES!E107</f>
        <v>98470</v>
      </c>
      <c r="F21" s="122">
        <v>1</v>
      </c>
      <c r="G21" s="96">
        <f>+E21*F21</f>
        <v>98470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98470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121550.30671445135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18232.546007167701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6077.5153357225681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6077.5153357225681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30387.576678612837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151938</v>
      </c>
    </row>
  </sheetData>
  <mergeCells count="1">
    <mergeCell ref="A3:C4"/>
  </mergeCell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topLeftCell="A19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1775</v>
      </c>
      <c r="H7" s="23"/>
    </row>
    <row r="8" spans="1:8">
      <c r="A8" s="22" t="s">
        <v>1375</v>
      </c>
      <c r="B8" s="22"/>
      <c r="C8" s="22"/>
      <c r="D8" s="22"/>
      <c r="E8" s="22"/>
      <c r="F8" s="22"/>
      <c r="G8" s="24" t="s">
        <v>1374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278.19090909095365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278.19090909095365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 t="s">
        <v>863</v>
      </c>
      <c r="B20" s="46"/>
      <c r="C20" s="47"/>
      <c r="D20" s="100"/>
      <c r="E20" s="98">
        <f>+MATERIALES!E108</f>
        <v>2295.0925925925926</v>
      </c>
      <c r="F20" s="96">
        <v>1</v>
      </c>
      <c r="G20" s="96">
        <f>+E20*F20</f>
        <v>2295.0925925925926</v>
      </c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33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2295.0925925925926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17" t="s">
        <v>295</v>
      </c>
      <c r="B26" s="319"/>
      <c r="C26" s="55" t="s">
        <v>296</v>
      </c>
      <c r="D26" s="319" t="s">
        <v>297</v>
      </c>
      <c r="E26" s="319" t="s">
        <v>298</v>
      </c>
      <c r="F26" s="31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17" t="s">
        <v>301</v>
      </c>
      <c r="B32" s="319"/>
      <c r="C32" s="319" t="s">
        <v>302</v>
      </c>
      <c r="D32" s="319" t="s">
        <v>303</v>
      </c>
      <c r="E32" s="85" t="s">
        <v>304</v>
      </c>
      <c r="F32" s="64" t="s">
        <v>286</v>
      </c>
      <c r="G32" s="31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3.0344455593450215E-2</v>
      </c>
      <c r="G33" s="67">
        <f>+E33*F33</f>
        <v>2781.9090909095366</v>
      </c>
      <c r="H33" s="34"/>
    </row>
    <row r="34" spans="1:8">
      <c r="A34" s="45"/>
      <c r="B34" s="46"/>
      <c r="C34" s="65"/>
      <c r="D34" s="293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2781.9090909095366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5355.1925925930827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30"/>
      <c r="C41" s="330"/>
      <c r="D41" s="330"/>
      <c r="E41" s="331"/>
      <c r="F41" s="331" t="s">
        <v>308</v>
      </c>
      <c r="G41" s="33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803.27888888896234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267.75962962965417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267.75962962965417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1338.7981481482707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6694</v>
      </c>
    </row>
  </sheetData>
  <mergeCells count="1">
    <mergeCell ref="A3:C4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1776</v>
      </c>
      <c r="H7" s="23"/>
    </row>
    <row r="8" spans="1:8">
      <c r="A8" s="22" t="s">
        <v>1376</v>
      </c>
      <c r="B8" s="24"/>
      <c r="C8" s="23"/>
      <c r="D8" s="24"/>
      <c r="E8" s="24"/>
      <c r="F8" s="24"/>
      <c r="G8" s="24" t="s">
        <v>1374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488">
        <f>H37*10%</f>
        <v>337.14090909083143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337.14090909083143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 t="s">
        <v>1006</v>
      </c>
      <c r="B20" s="46"/>
      <c r="C20" s="47"/>
      <c r="D20" s="100"/>
      <c r="E20" s="98">
        <f>+MATERIALES!E109</f>
        <v>4512.3407407407403</v>
      </c>
      <c r="F20" s="122">
        <v>1</v>
      </c>
      <c r="G20" s="50">
        <f>+E20*F20</f>
        <v>4512.3407407407403</v>
      </c>
      <c r="H20" s="34"/>
    </row>
    <row r="21" spans="1:8">
      <c r="A21" s="86"/>
      <c r="B21" s="46"/>
      <c r="C21" s="47"/>
      <c r="D21" s="30"/>
      <c r="E21" s="101"/>
      <c r="F21" s="31"/>
      <c r="G21" s="33"/>
      <c r="H21" s="34"/>
    </row>
    <row r="22" spans="1:8">
      <c r="A22" s="87"/>
      <c r="B22" s="88"/>
      <c r="C22" s="89"/>
      <c r="D22" s="90"/>
      <c r="E22" s="91"/>
      <c r="F22" s="334"/>
      <c r="G22" s="114"/>
      <c r="H22" s="34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4512.3407407407403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17" t="s">
        <v>295</v>
      </c>
      <c r="B26" s="319"/>
      <c r="C26" s="55" t="s">
        <v>296</v>
      </c>
      <c r="D26" s="319" t="s">
        <v>297</v>
      </c>
      <c r="E26" s="319" t="s">
        <v>298</v>
      </c>
      <c r="F26" s="31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17" t="s">
        <v>301</v>
      </c>
      <c r="B32" s="319"/>
      <c r="C32" s="319" t="s">
        <v>302</v>
      </c>
      <c r="D32" s="319" t="s">
        <v>303</v>
      </c>
      <c r="E32" s="85" t="s">
        <v>304</v>
      </c>
      <c r="F32" s="64" t="s">
        <v>286</v>
      </c>
      <c r="G32" s="31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3.6774592592087138E-2</v>
      </c>
      <c r="G33" s="67">
        <f>+E33*F33</f>
        <v>3371.4090909083143</v>
      </c>
      <c r="H33" s="34"/>
    </row>
    <row r="34" spans="1:8">
      <c r="A34" s="45"/>
      <c r="B34" s="46"/>
      <c r="C34" s="65"/>
      <c r="D34" s="293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3371.4090909083143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8220.8907407398874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30"/>
      <c r="C41" s="330"/>
      <c r="D41" s="330"/>
      <c r="E41" s="331"/>
      <c r="F41" s="331" t="s">
        <v>308</v>
      </c>
      <c r="G41" s="33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1233.1336111109831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411.04453703699437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411.04453703699437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2055.2226851849719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10276</v>
      </c>
    </row>
  </sheetData>
  <mergeCells count="1">
    <mergeCell ref="A3:C4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topLeftCell="A22" workbookViewId="0">
      <selection activeCell="F20" sqref="F2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1777</v>
      </c>
      <c r="H7" s="23"/>
    </row>
    <row r="8" spans="1:8">
      <c r="A8" s="22" t="s">
        <v>1306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1307</v>
      </c>
      <c r="B21" s="46"/>
      <c r="C21" s="47"/>
      <c r="D21" s="100" t="s">
        <v>41</v>
      </c>
      <c r="E21" s="98">
        <f>+MATERIALES!E83</f>
        <v>11790</v>
      </c>
      <c r="F21" s="122">
        <v>1</v>
      </c>
      <c r="G21" s="96">
        <f>+E21*F21</f>
        <v>11790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11790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34870.306714451355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5230.5460071677035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1743.5153357225679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1743.5153357225679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8717.5766786128388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43588</v>
      </c>
    </row>
  </sheetData>
  <mergeCells count="1">
    <mergeCell ref="A3:C4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1778</v>
      </c>
      <c r="H7" s="23"/>
    </row>
    <row r="8" spans="1:8">
      <c r="A8" s="22" t="s">
        <v>1309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1310</v>
      </c>
      <c r="B21" s="46"/>
      <c r="C21" s="47"/>
      <c r="D21" s="100" t="s">
        <v>41</v>
      </c>
      <c r="E21" s="98">
        <f>+MATERIALES!E84</f>
        <v>11790</v>
      </c>
      <c r="F21" s="122">
        <v>1</v>
      </c>
      <c r="G21" s="96">
        <f>+E21*F21</f>
        <v>11790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11790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34870.306714451355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5230.5460071677035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1743.5153357225679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1743.5153357225679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8717.5766786128388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43588</v>
      </c>
    </row>
  </sheetData>
  <mergeCells count="1">
    <mergeCell ref="A3:C4"/>
  </mergeCell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1779</v>
      </c>
      <c r="H7" s="23"/>
    </row>
    <row r="8" spans="1:8">
      <c r="A8" s="22" t="s">
        <v>1311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1312</v>
      </c>
      <c r="B21" s="46"/>
      <c r="C21" s="47"/>
      <c r="D21" s="100" t="s">
        <v>41</v>
      </c>
      <c r="E21" s="98">
        <f>+MATERIALES!E85</f>
        <v>18952.666666666668</v>
      </c>
      <c r="F21" s="122">
        <v>1</v>
      </c>
      <c r="G21" s="96">
        <f>+E21*F21</f>
        <v>18952.666666666668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18952.666666666668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42032.973381118019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6304.9460071677031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2101.6486690559009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2101.6486690559009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10508.243345279505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52541</v>
      </c>
    </row>
  </sheetData>
  <mergeCells count="1">
    <mergeCell ref="A3:C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topLeftCell="A16" workbookViewId="0">
      <selection activeCell="E17" sqref="E1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371</v>
      </c>
      <c r="B7" s="24"/>
      <c r="C7" s="23"/>
      <c r="D7" s="2"/>
      <c r="E7" s="24"/>
      <c r="F7" s="2"/>
      <c r="G7" s="24" t="s">
        <v>372</v>
      </c>
      <c r="H7" s="23"/>
    </row>
    <row r="8" spans="1:8">
      <c r="A8" s="22" t="s">
        <v>362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4070.0330907751613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4070.0330907751613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C34*D34</f>
        <v>118045.88145866009</v>
      </c>
      <c r="F34" s="59">
        <v>0.34478399758491318</v>
      </c>
      <c r="G34" s="67">
        <f>E34*F34</f>
        <v>40700.33090775161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40700.33090775161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44770.363998526773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6715.5545997790159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2238.5181999263386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2238.5181999263386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11192.590999631693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55963</v>
      </c>
    </row>
  </sheetData>
  <mergeCells count="12">
    <mergeCell ref="A11:C11"/>
    <mergeCell ref="A3:C4"/>
    <mergeCell ref="A5:C5"/>
    <mergeCell ref="D5:H5"/>
    <mergeCell ref="A12:C12"/>
    <mergeCell ref="A33:B33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1780</v>
      </c>
      <c r="H7" s="23"/>
    </row>
    <row r="8" spans="1:8">
      <c r="A8" s="22" t="s">
        <v>1313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1314</v>
      </c>
      <c r="B21" s="46"/>
      <c r="C21" s="47"/>
      <c r="D21" s="100" t="s">
        <v>1175</v>
      </c>
      <c r="E21" s="98">
        <f>+MATERIALES!E86</f>
        <v>19059</v>
      </c>
      <c r="F21" s="122">
        <v>1</v>
      </c>
      <c r="G21" s="96">
        <f>+E21*F21</f>
        <v>19059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19059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42139.306714451355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6320.8960071677029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2106.9653357225679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2106.9653357225679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10534.826678612841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52674</v>
      </c>
    </row>
  </sheetData>
  <mergeCells count="1">
    <mergeCell ref="A3:C4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1781</v>
      </c>
      <c r="H7" s="23"/>
    </row>
    <row r="8" spans="1:8">
      <c r="A8" s="22" t="s">
        <v>1321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5196.5536363636365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5196.5536363636365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1322</v>
      </c>
      <c r="B21" s="46"/>
      <c r="C21" s="47"/>
      <c r="D21" s="100" t="s">
        <v>41</v>
      </c>
      <c r="E21" s="98">
        <f>+MATERIALES!E87</f>
        <v>23268.333333333332</v>
      </c>
      <c r="F21" s="122">
        <v>1</v>
      </c>
      <c r="G21" s="96">
        <f>+E21*F21</f>
        <v>23268.333333333332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23268.333333333332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0.36082332917496335</v>
      </c>
      <c r="G34" s="67">
        <f>+E34*F34</f>
        <v>31307.50710837085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51965.536363636362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80430.42333333334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12064.5635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4021.5211666666673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4021.5211666666673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20107.605833333335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100538</v>
      </c>
    </row>
  </sheetData>
  <mergeCells count="1">
    <mergeCell ref="A3:C4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1782</v>
      </c>
      <c r="H7" s="23"/>
    </row>
    <row r="8" spans="1:8">
      <c r="A8" s="22" t="s">
        <v>1323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5196.5536363636365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5196.5536363636365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1324</v>
      </c>
      <c r="B21" s="46"/>
      <c r="C21" s="47"/>
      <c r="D21" s="100" t="s">
        <v>1175</v>
      </c>
      <c r="E21" s="98">
        <f>+MATERIALES!E88</f>
        <v>22354.666666666668</v>
      </c>
      <c r="F21" s="122">
        <v>1</v>
      </c>
      <c r="G21" s="96">
        <f>+E21*F21</f>
        <v>22354.666666666668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22354.666666666668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0.36082332917496335</v>
      </c>
      <c r="G34" s="67">
        <f>+E34*F34</f>
        <v>31307.50710837085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51965.536363636362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79516.756666666668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11927.513499999999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3975.8378333333335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3975.8378333333335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19879.189166666667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99396</v>
      </c>
    </row>
  </sheetData>
  <mergeCells count="1">
    <mergeCell ref="A3:C4"/>
  </mergeCell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7" sqref="G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902" t="s">
        <v>318</v>
      </c>
      <c r="B5" s="903"/>
      <c r="C5" s="904"/>
      <c r="D5" s="908"/>
      <c r="E5" s="909"/>
      <c r="F5" s="909"/>
      <c r="G5" s="909"/>
      <c r="H5" s="910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1783</v>
      </c>
      <c r="H7" s="23"/>
    </row>
    <row r="8" spans="1:8">
      <c r="A8" s="22" t="s">
        <v>1326</v>
      </c>
      <c r="B8" s="24"/>
      <c r="C8" s="23"/>
      <c r="D8" s="24"/>
      <c r="E8" s="24"/>
      <c r="F8" s="24"/>
      <c r="G8" s="24" t="s">
        <v>1308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905" t="s">
        <v>283</v>
      </c>
      <c r="B11" s="906"/>
      <c r="C11" s="907"/>
      <c r="D11" s="907" t="s">
        <v>284</v>
      </c>
      <c r="E11" s="27" t="s">
        <v>285</v>
      </c>
      <c r="F11" s="907" t="s">
        <v>286</v>
      </c>
      <c r="G11" s="906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5196.5536363636365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911"/>
      <c r="B14" s="912"/>
      <c r="C14" s="913"/>
      <c r="D14" s="35"/>
      <c r="E14" s="36"/>
      <c r="F14" s="31"/>
      <c r="G14" s="33"/>
      <c r="H14" s="34"/>
    </row>
    <row r="15" spans="1:8">
      <c r="A15" s="911"/>
      <c r="B15" s="912"/>
      <c r="C15" s="913"/>
      <c r="D15" s="35"/>
      <c r="E15" s="36"/>
      <c r="F15" s="31"/>
      <c r="G15" s="33"/>
      <c r="H15" s="34"/>
    </row>
    <row r="16" spans="1:8">
      <c r="A16" s="911"/>
      <c r="B16" s="912"/>
      <c r="C16" s="913"/>
      <c r="D16" s="35"/>
      <c r="E16" s="36"/>
      <c r="F16" s="31"/>
      <c r="G16" s="33"/>
      <c r="H16" s="34"/>
    </row>
    <row r="17" spans="1:8" ht="15" thickBot="1">
      <c r="A17" s="914"/>
      <c r="B17" s="915"/>
      <c r="C17" s="91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5196.5536363636365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917" t="s">
        <v>283</v>
      </c>
      <c r="B20" s="918"/>
      <c r="C20" s="919"/>
      <c r="D20" s="919" t="s">
        <v>291</v>
      </c>
      <c r="E20" s="919" t="s">
        <v>292</v>
      </c>
      <c r="F20" s="919" t="s">
        <v>293</v>
      </c>
      <c r="G20" s="918" t="s">
        <v>287</v>
      </c>
      <c r="H20" s="29"/>
    </row>
    <row r="21" spans="1:8">
      <c r="A21" s="86" t="s">
        <v>1327</v>
      </c>
      <c r="B21" s="46"/>
      <c r="C21" s="47"/>
      <c r="D21" s="100" t="s">
        <v>1175</v>
      </c>
      <c r="E21" s="98">
        <f>+MATERIALES!E89</f>
        <v>51297.9</v>
      </c>
      <c r="F21" s="122">
        <v>1</v>
      </c>
      <c r="G21" s="96">
        <f>+E21*F21</f>
        <v>51297.9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51297.9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905" t="s">
        <v>295</v>
      </c>
      <c r="B27" s="907"/>
      <c r="C27" s="55" t="s">
        <v>296</v>
      </c>
      <c r="D27" s="907" t="s">
        <v>297</v>
      </c>
      <c r="E27" s="907" t="s">
        <v>298</v>
      </c>
      <c r="F27" s="90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905" t="s">
        <v>301</v>
      </c>
      <c r="B33" s="907"/>
      <c r="C33" s="907" t="s">
        <v>302</v>
      </c>
      <c r="D33" s="907" t="s">
        <v>303</v>
      </c>
      <c r="E33" s="85" t="s">
        <v>304</v>
      </c>
      <c r="F33" s="64" t="s">
        <v>286</v>
      </c>
      <c r="G33" s="90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0.36082332917496335</v>
      </c>
      <c r="G34" s="67">
        <f>+E34*F34</f>
        <v>31307.50710837085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51965.536363636362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108459.98999999999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918"/>
      <c r="C42" s="918"/>
      <c r="D42" s="918"/>
      <c r="E42" s="919"/>
      <c r="F42" s="919" t="s">
        <v>308</v>
      </c>
      <c r="G42" s="91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16268.998499999998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5422.9994999999999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5422.9994999999999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27114.997499999998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135575</v>
      </c>
    </row>
  </sheetData>
  <mergeCells count="1">
    <mergeCell ref="A3:C4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1784</v>
      </c>
      <c r="H7" s="23"/>
    </row>
    <row r="8" spans="1:8">
      <c r="A8" s="1235" t="s">
        <v>811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1343</v>
      </c>
      <c r="B21" s="46"/>
      <c r="C21" s="47"/>
      <c r="D21" s="100" t="s">
        <v>1175</v>
      </c>
      <c r="E21" s="98">
        <f>+MATERIALES!E74</f>
        <v>37349.340000000004</v>
      </c>
      <c r="F21" s="122">
        <v>1</v>
      </c>
      <c r="G21" s="96">
        <f>+E21*F21</f>
        <v>37349.340000000004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37349.340000000004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60429.646714451359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9064.4470071677042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3021.4823357225682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3021.4823357225682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15107.411678612842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75537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1785</v>
      </c>
      <c r="H7" s="23"/>
    </row>
    <row r="8" spans="1:8">
      <c r="A8" s="1235" t="s">
        <v>812</v>
      </c>
      <c r="B8" s="1235"/>
      <c r="C8" s="1235"/>
      <c r="D8" s="1235"/>
      <c r="E8" s="1235"/>
      <c r="F8" s="1235"/>
      <c r="G8" s="24" t="s">
        <v>1308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2098.2097013137595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1344</v>
      </c>
      <c r="B21" s="46"/>
      <c r="C21" s="47"/>
      <c r="D21" s="100" t="s">
        <v>1175</v>
      </c>
      <c r="E21" s="98">
        <f>+MATERIALES!E75</f>
        <v>38936.006666666668</v>
      </c>
      <c r="F21" s="122">
        <v>1</v>
      </c>
      <c r="G21" s="96">
        <f>+E21*F21</f>
        <v>38936.006666666668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38936.006666666668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62016.313381118023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9302.4470071677024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3100.8156690559013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3100.8156690559013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15504.078345279504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77520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1786</v>
      </c>
      <c r="H7" s="23"/>
    </row>
    <row r="8" spans="1:8">
      <c r="A8" s="1235" t="s">
        <v>813</v>
      </c>
      <c r="B8" s="1235"/>
      <c r="C8" s="1235"/>
      <c r="D8" s="1235"/>
      <c r="E8" s="1235"/>
      <c r="F8" s="1235"/>
      <c r="G8" s="24" t="s">
        <v>1308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2098.2097013137595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2098.2097013137595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1345</v>
      </c>
      <c r="B21" s="46"/>
      <c r="C21" s="47"/>
      <c r="D21" s="100" t="s">
        <v>1175</v>
      </c>
      <c r="E21" s="98">
        <f>+MATERIALES!E76</f>
        <v>51664.643333333333</v>
      </c>
      <c r="F21" s="122">
        <v>1</v>
      </c>
      <c r="G21" s="96">
        <f>+E21*F21</f>
        <v>51664.643333333333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51664.643333333333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+SALARIOS!D50</f>
        <v>1.6318566965480863</v>
      </c>
      <c r="E34" s="31">
        <f>+C34*D34</f>
        <v>86766.859504225213</v>
      </c>
      <c r="F34" s="31">
        <v>0.12679172742750097</v>
      </c>
      <c r="G34" s="67">
        <f>E34*F34</f>
        <v>11001.319999999996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20982.097013137594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74744.950047784689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11211.742507167703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3737.2475023892348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3737.2475023892348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18686.237511946172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93431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1787</v>
      </c>
      <c r="H7" s="23"/>
    </row>
    <row r="8" spans="1:8">
      <c r="A8" s="1235" t="s">
        <v>1346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2098.2097013137604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2098.2097013137604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 t="s">
        <v>1347</v>
      </c>
      <c r="B20" s="46"/>
      <c r="C20" s="47"/>
      <c r="D20" s="100" t="s">
        <v>1175</v>
      </c>
      <c r="E20" s="98">
        <f>+MATERIALES!E77</f>
        <v>45780.49</v>
      </c>
      <c r="F20" s="122">
        <v>1</v>
      </c>
      <c r="G20" s="96">
        <f>+E20*F20</f>
        <v>45780.49</v>
      </c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33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45780.49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17" t="s">
        <v>295</v>
      </c>
      <c r="B26" s="319"/>
      <c r="C26" s="55" t="s">
        <v>296</v>
      </c>
      <c r="D26" s="319" t="s">
        <v>297</v>
      </c>
      <c r="E26" s="319" t="s">
        <v>298</v>
      </c>
      <c r="F26" s="31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17" t="s">
        <v>301</v>
      </c>
      <c r="B32" s="319"/>
      <c r="C32" s="319" t="s">
        <v>302</v>
      </c>
      <c r="D32" s="319" t="s">
        <v>303</v>
      </c>
      <c r="E32" s="85" t="s">
        <v>304</v>
      </c>
      <c r="F32" s="64" t="s">
        <v>286</v>
      </c>
      <c r="G32" s="31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0.11999999112127401</v>
      </c>
      <c r="G33" s="67">
        <f>E33*F33</f>
        <v>11001.320000000003</v>
      </c>
      <c r="H33" s="34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31">
        <v>0.1690999616387783</v>
      </c>
      <c r="G34" s="67">
        <f>+E34*F34</f>
        <v>9980.7770131375964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20982.097013137602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68860.796714451368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30"/>
      <c r="C41" s="330"/>
      <c r="D41" s="330"/>
      <c r="E41" s="331"/>
      <c r="F41" s="331" t="s">
        <v>308</v>
      </c>
      <c r="G41" s="33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+SALARIOS!C43</f>
        <v>0.15</v>
      </c>
      <c r="G42" s="78">
        <f>++F42*H39</f>
        <v>10329.119507167705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+SALARIOS!C44</f>
        <v>0.05</v>
      </c>
      <c r="G43" s="78">
        <f>+F43*H39</f>
        <v>3443.0398357225686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+SALARIOS!C45</f>
        <v>0.05</v>
      </c>
      <c r="G44" s="81">
        <f>+F44*H39</f>
        <v>3443.0398357225686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17215.199178612842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86076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1788</v>
      </c>
      <c r="H7" s="23"/>
    </row>
    <row r="8" spans="1:8">
      <c r="A8" s="1235" t="s">
        <v>1348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2098.2097013137604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2098.2097013137604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1349</v>
      </c>
      <c r="B21" s="46"/>
      <c r="C21" s="47"/>
      <c r="D21" s="100" t="s">
        <v>1175</v>
      </c>
      <c r="E21" s="98">
        <f>+MATERIALES!E78</f>
        <v>47367.156666666669</v>
      </c>
      <c r="F21" s="122">
        <v>1</v>
      </c>
      <c r="G21" s="96">
        <f>+E21*F21</f>
        <v>47367.156666666669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47367.156666666669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0.11999999112127401</v>
      </c>
      <c r="G34" s="67">
        <f>E34*F34</f>
        <v>11001.320000000003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20982.097013137602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70447.463381118025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10567.119507167703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3522.3731690559016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3522.3731690559016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17611.865845279506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88059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1789</v>
      </c>
      <c r="H7" s="23"/>
    </row>
    <row r="8" spans="1:8">
      <c r="A8" s="1235" t="s">
        <v>1350</v>
      </c>
      <c r="B8" s="1235"/>
      <c r="C8" s="1235"/>
      <c r="D8" s="1235"/>
      <c r="E8" s="1235"/>
      <c r="F8" s="1235"/>
      <c r="G8" s="24" t="s">
        <v>1308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2098.2097013137604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2098.2097013137604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1351</v>
      </c>
      <c r="B21" s="46"/>
      <c r="C21" s="47"/>
      <c r="D21" s="100" t="s">
        <v>1175</v>
      </c>
      <c r="E21" s="98">
        <f>+MATERIALES!E79</f>
        <v>58432.57</v>
      </c>
      <c r="F21" s="122">
        <v>1</v>
      </c>
      <c r="G21" s="96">
        <f>+E21*F21</f>
        <v>58432.57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58432.57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0.11999999112127401</v>
      </c>
      <c r="G34" s="67">
        <f>E34*F34</f>
        <v>11001.320000000003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20982.097013137602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81512.876714451355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12226.931507167703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4075.6438357225679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4075.6438357225679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20378.219178612839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101891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L20" sqref="L2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371</v>
      </c>
      <c r="B7" s="24"/>
      <c r="C7" s="23"/>
      <c r="D7" s="2"/>
      <c r="E7" s="24"/>
      <c r="F7" s="2"/>
      <c r="G7" s="24" t="s">
        <v>373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7324.6466268093754</v>
      </c>
      <c r="H12" s="34"/>
    </row>
    <row r="13" spans="1:8">
      <c r="A13" s="134" t="s">
        <v>43</v>
      </c>
      <c r="B13" s="135"/>
      <c r="C13" s="133"/>
      <c r="D13" s="133" t="s">
        <v>7</v>
      </c>
      <c r="E13" s="132">
        <f>+'EQUIPOS '!D6</f>
        <v>84117</v>
      </c>
      <c r="F13" s="488">
        <v>6.4552944113557054E-2</v>
      </c>
      <c r="G13" s="132">
        <f>+E13*F13</f>
        <v>5430.0000000000791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12754.646626809455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C34*D34</f>
        <v>177068.82218799012</v>
      </c>
      <c r="F34" s="59">
        <v>0.41366100120285187</v>
      </c>
      <c r="G34" s="67">
        <f>E34*F34</f>
        <v>73246.466268093747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73246.466268093747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86001.112894903199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12900.16693423548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4300.05564474516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4300.05564474516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21500.2782237258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107501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800</v>
      </c>
      <c r="B7" s="24"/>
      <c r="C7" s="23"/>
      <c r="D7" s="2"/>
      <c r="E7" s="24"/>
      <c r="F7" s="2"/>
      <c r="G7" s="24" t="s">
        <v>1790</v>
      </c>
      <c r="H7" s="23"/>
    </row>
    <row r="8" spans="1:8">
      <c r="A8" s="1235" t="s">
        <v>1352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1235"/>
      <c r="B9" s="1235"/>
      <c r="C9" s="1235"/>
      <c r="D9" s="1235"/>
      <c r="E9" s="1235"/>
      <c r="F9" s="1235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5196.5536363636365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5196.5536363636365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1353</v>
      </c>
      <c r="B21" s="46"/>
      <c r="C21" s="47"/>
      <c r="D21" s="100" t="s">
        <v>1175</v>
      </c>
      <c r="E21" s="98">
        <f>+MATERIALES!E80</f>
        <v>55032.343333333331</v>
      </c>
      <c r="F21" s="122">
        <v>1</v>
      </c>
      <c r="G21" s="96">
        <f>+E21*F21</f>
        <v>55032.343333333331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33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55032.343333333331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0.34149543645978148</v>
      </c>
      <c r="G34" s="67">
        <f>+E34*F34</f>
        <v>31307.507108370846</v>
      </c>
      <c r="H34" s="34"/>
    </row>
    <row r="35" spans="1:8">
      <c r="A35" s="45" t="s">
        <v>464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51965.536363636362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112194.43333333332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+SALARIOS!C43</f>
        <v>0.15</v>
      </c>
      <c r="G43" s="78">
        <f>++F43*H40</f>
        <v>16829.164999999997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+SALARIOS!C44</f>
        <v>0.05</v>
      </c>
      <c r="G44" s="78">
        <f>+F44*H40</f>
        <v>5609.7216666666664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+SALARIOS!C45</f>
        <v>0.05</v>
      </c>
      <c r="G45" s="81">
        <f>+F45*H40</f>
        <v>5609.7216666666664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28048.60833333333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140243</v>
      </c>
    </row>
  </sheetData>
  <mergeCells count="2">
    <mergeCell ref="A3:C4"/>
    <mergeCell ref="A8:F9"/>
  </mergeCell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1791</v>
      </c>
      <c r="H7" s="23"/>
    </row>
    <row r="8" spans="1:8">
      <c r="A8" s="22" t="s">
        <v>1354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5196.5536363636365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5196.5536363636365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1355</v>
      </c>
      <c r="B21" s="46"/>
      <c r="C21" s="47"/>
      <c r="D21" s="100" t="s">
        <v>1175</v>
      </c>
      <c r="E21" s="98">
        <f>+MATERIALES!E81</f>
        <v>56619.01</v>
      </c>
      <c r="F21" s="122">
        <v>1</v>
      </c>
      <c r="G21" s="96">
        <f>+E21*F21</f>
        <v>56619.01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56619.01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0.34149543645978148</v>
      </c>
      <c r="G34" s="67">
        <f>+E34*F34</f>
        <v>31307.507108370846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51965.536363636362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113781.1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17067.165000000001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5689.0550000000003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5689.0550000000003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28445.275000000001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142226</v>
      </c>
    </row>
  </sheetData>
  <mergeCells count="1">
    <mergeCell ref="A3:C4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1792</v>
      </c>
      <c r="H7" s="23"/>
    </row>
    <row r="8" spans="1:8">
      <c r="A8" s="22" t="s">
        <v>815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5196.5540000000001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5196.5540000000001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1356</v>
      </c>
      <c r="B21" s="46"/>
      <c r="C21" s="47"/>
      <c r="D21" s="100" t="s">
        <v>1175</v>
      </c>
      <c r="E21" s="98">
        <f>+MATERIALES!E82</f>
        <v>70061.646666666667</v>
      </c>
      <c r="F21" s="122">
        <v>1</v>
      </c>
      <c r="G21" s="96">
        <f>+E21*F21</f>
        <v>70061.646666666667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70061.646666666667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+[1]SALARIOS!C69</f>
        <v>42000</v>
      </c>
      <c r="D34" s="66">
        <f>+SALARIOS!D49</f>
        <v>1.724216206485921</v>
      </c>
      <c r="E34" s="31">
        <f>+C34*D34</f>
        <v>72417.080672408687</v>
      </c>
      <c r="F34" s="31">
        <v>0.43232217743801338</v>
      </c>
      <c r="G34" s="67">
        <f>+E34*F34</f>
        <v>31307.51</v>
      </c>
      <c r="H34" s="34"/>
    </row>
    <row r="35" spans="1:8">
      <c r="A35" s="45" t="s">
        <v>807</v>
      </c>
      <c r="B35" s="46"/>
      <c r="C35" s="65">
        <f>+[1]SALARIOS!C68*1</f>
        <v>20533</v>
      </c>
      <c r="D35" s="66">
        <f>+SALARIOS!D48</f>
        <v>1.8056142176927319</v>
      </c>
      <c r="E35" s="31">
        <f>+C35*D35</f>
        <v>37074.676731884865</v>
      </c>
      <c r="F35" s="31">
        <v>0.55720054282317533</v>
      </c>
      <c r="G35" s="67">
        <f>+E35*F35</f>
        <v>20658.029999999995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51965.539999999994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127223.74066666666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19083.561099999999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6361.1870333333336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6361.1870333333336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31805.93516666667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159030</v>
      </c>
    </row>
  </sheetData>
  <mergeCells count="1">
    <mergeCell ref="A3:C4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1793</v>
      </c>
      <c r="H7" s="23"/>
    </row>
    <row r="8" spans="1:8" ht="21.75" customHeight="1">
      <c r="A8" s="1235" t="s">
        <v>1557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1111.828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1111.828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 ht="21.75" customHeight="1">
      <c r="A21" s="1215" t="s">
        <v>1538</v>
      </c>
      <c r="B21" s="1207"/>
      <c r="C21" s="1208"/>
      <c r="D21" s="100" t="s">
        <v>41</v>
      </c>
      <c r="E21" s="98">
        <f>+MATERIALES!E116</f>
        <v>599776.06500000006</v>
      </c>
      <c r="F21" s="122">
        <v>1</v>
      </c>
      <c r="G21" s="96">
        <f>+E21*F21</f>
        <v>599776.06500000006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599776.06500000006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9.0777245826680703E-2</v>
      </c>
      <c r="G35" s="67">
        <f>+E35*F35</f>
        <v>5357.9399999999987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11118.279999999999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612006.17300000007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91800.925950000004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30600.308650000006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30600.308650000006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153001.54325000002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765008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1794</v>
      </c>
      <c r="H7" s="23"/>
    </row>
    <row r="8" spans="1:8" ht="21" customHeight="1">
      <c r="A8" s="1235" t="s">
        <v>1558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2098.2097827118541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2098.2097827118541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 ht="22.5" customHeight="1">
      <c r="A21" s="1215" t="s">
        <v>1540</v>
      </c>
      <c r="B21" s="1207"/>
      <c r="C21" s="1208"/>
      <c r="D21" s="100" t="s">
        <v>41</v>
      </c>
      <c r="E21" s="98">
        <f>+MATERIALES!E117</f>
        <v>865167.00000000012</v>
      </c>
      <c r="F21" s="122">
        <v>1</v>
      </c>
      <c r="G21" s="96">
        <f>+E21*F21</f>
        <v>865167.00000000012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865167.00000000012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</v>
      </c>
      <c r="G34" s="67">
        <f>E34*F34</f>
        <v>11001.320813980945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20982.097827118541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888247.30760983052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133237.09614147458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44412.36538049153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44412.36538049153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222061.82690245766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1110309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1795</v>
      </c>
      <c r="H7" s="23"/>
    </row>
    <row r="8" spans="1:8" ht="24" customHeight="1">
      <c r="A8" s="1235" t="s">
        <v>1559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2098.2097827118541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2098.2097827118541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 ht="19.5" customHeight="1">
      <c r="A21" s="1215" t="s">
        <v>1539</v>
      </c>
      <c r="B21" s="1207"/>
      <c r="C21" s="1208"/>
      <c r="D21" s="100" t="s">
        <v>41</v>
      </c>
      <c r="E21" s="98">
        <f>+MATERIALES!E118</f>
        <v>1060793.9650000001</v>
      </c>
      <c r="F21" s="122">
        <v>1</v>
      </c>
      <c r="G21" s="96">
        <f>+E21*F21</f>
        <v>1060793.9650000001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1060793.9650000001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</v>
      </c>
      <c r="G34" s="67">
        <f>E34*F34</f>
        <v>11001.320813980945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0.1690999616387783</v>
      </c>
      <c r="G35" s="67">
        <f>+E35*F35</f>
        <v>9980.7770131375964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20982.097827118541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1083874.2726098306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162581.14089147458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54193.713630491533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54193.713630491533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270968.56815245765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1354843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1796</v>
      </c>
      <c r="H7" s="23"/>
    </row>
    <row r="8" spans="1:8" ht="22.5" customHeight="1">
      <c r="A8" s="1235" t="s">
        <v>1560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5196.5535283371155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5196.5535283371155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 ht="21.75" customHeight="1">
      <c r="A21" s="1215" t="s">
        <v>1541</v>
      </c>
      <c r="B21" s="1207"/>
      <c r="C21" s="1208"/>
      <c r="D21" s="100" t="s">
        <v>41</v>
      </c>
      <c r="E21" s="98">
        <f>+MATERIALES!E119</f>
        <v>2199576.96</v>
      </c>
      <c r="F21" s="122">
        <v>1</v>
      </c>
      <c r="G21" s="96">
        <f>+E21*F21</f>
        <v>2199576.96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2199576.96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0.34149542467648497</v>
      </c>
      <c r="G34" s="67">
        <f>+E34*F34</f>
        <v>31307.506028105636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51965.535283371151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2256739.0488117086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338510.85732175625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112836.95244058543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112836.95244058543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564184.76220292714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2820924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1797</v>
      </c>
      <c r="H7" s="23"/>
    </row>
    <row r="8" spans="1:8" ht="22.5" customHeight="1">
      <c r="A8" s="1235" t="s">
        <v>1561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5196.5535283371155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5196.5535283371155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 ht="21.75" customHeight="1">
      <c r="A21" s="1215" t="s">
        <v>1542</v>
      </c>
      <c r="B21" s="1207"/>
      <c r="C21" s="1208"/>
      <c r="D21" s="100" t="s">
        <v>41</v>
      </c>
      <c r="E21" s="98">
        <f>+MATERIALES!E120</f>
        <v>3279650.71</v>
      </c>
      <c r="F21" s="122">
        <v>1</v>
      </c>
      <c r="G21" s="96">
        <f>+E21*F21</f>
        <v>3279650.71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3279650.71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0.34149542467648497</v>
      </c>
      <c r="G34" s="67">
        <f>+E34*F34</f>
        <v>31307.506028105636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0.35</v>
      </c>
      <c r="G35" s="67">
        <f>+E35*F35</f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51965.535283371151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3336812.7988117086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500521.91982175625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166840.63994058545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166840.63994058545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834203.19970292714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4171016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1798</v>
      </c>
      <c r="H7" s="23"/>
    </row>
    <row r="8" spans="1:8" ht="22.5" customHeight="1">
      <c r="A8" s="1235" t="s">
        <v>1562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10133.437479362459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10133.437479362459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6.25" customHeight="1">
      <c r="A21" s="1215" t="s">
        <v>1543</v>
      </c>
      <c r="B21" s="1207"/>
      <c r="C21" s="1208"/>
      <c r="D21" s="100" t="s">
        <v>41</v>
      </c>
      <c r="E21" s="98">
        <f>+MATERIALES!E121</f>
        <v>5439738.7100000009</v>
      </c>
      <c r="F21" s="122">
        <v>1</v>
      </c>
      <c r="G21" s="96">
        <f>+E21*F21</f>
        <v>5439738.7100000009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5439738.7100000009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0.65466666009942798</v>
      </c>
      <c r="G34" s="67">
        <f>+E34*F34</f>
        <v>60018.316283093547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0.7</v>
      </c>
      <c r="G35" s="67">
        <f>+E35*F35</f>
        <v>41316.058510531031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101334.37479362458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5551206.5222729882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832680.97834094823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277560.32611364941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277560.32611364941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1387801.6305682471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6939008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1799</v>
      </c>
      <c r="H7" s="23"/>
    </row>
    <row r="8" spans="1:8" ht="22.5" customHeight="1">
      <c r="A8" s="1235" t="s">
        <v>1563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10133.437479362459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10133.437479362459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2.5" customHeight="1">
      <c r="A21" s="1215" t="s">
        <v>1544</v>
      </c>
      <c r="B21" s="1207"/>
      <c r="C21" s="1208"/>
      <c r="D21" s="100" t="s">
        <v>41</v>
      </c>
      <c r="E21" s="98">
        <f>+MATERIALES!E122</f>
        <v>8365765.4500000011</v>
      </c>
      <c r="F21" s="122">
        <v>1</v>
      </c>
      <c r="G21" s="96">
        <f>+E21*F21</f>
        <v>8365765.4500000011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8365765.4500000011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0.65466666009942798</v>
      </c>
      <c r="G34" s="67">
        <f>+E34*F34</f>
        <v>60018.316283093547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0.7</v>
      </c>
      <c r="G35" s="67">
        <f>+E35*F35</f>
        <v>41316.058510531031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101334.37479362458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8477233.2622729894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1271584.9893409484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423861.66311364947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423861.66311364947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2119308.3155682473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10596542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K21" sqref="K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376</v>
      </c>
      <c r="B7" s="24"/>
      <c r="C7" s="23"/>
      <c r="D7" s="2"/>
      <c r="E7" s="24"/>
      <c r="F7" s="2"/>
      <c r="G7" s="24" t="s">
        <v>374</v>
      </c>
      <c r="H7" s="23"/>
    </row>
    <row r="8" spans="1:8">
      <c r="A8" s="22" t="s">
        <v>361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3743.2240697204143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13978.624069720416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C34*D34</f>
        <v>118045.88145866009</v>
      </c>
      <c r="F34" s="59">
        <v>0.31709908244713297</v>
      </c>
      <c r="G34" s="67">
        <f>E34*F34</f>
        <v>37432.240697204143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37432.240697204143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51410.864766924555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7711.6297150386827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2570.543238346228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2570.543238346228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12852.716191731139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64264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1800</v>
      </c>
      <c r="H7" s="23"/>
    </row>
    <row r="8" spans="1:8" ht="22.5" customHeight="1">
      <c r="A8" s="1235" t="s">
        <v>1564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10133.437479362459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10133.437479362459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1" customHeight="1">
      <c r="A21" s="1215" t="s">
        <v>1545</v>
      </c>
      <c r="B21" s="1207"/>
      <c r="C21" s="1208"/>
      <c r="D21" s="100" t="s">
        <v>41</v>
      </c>
      <c r="E21" s="98">
        <f>+MATERIALES!E123</f>
        <v>12723507.965</v>
      </c>
      <c r="F21" s="122">
        <v>1</v>
      </c>
      <c r="G21" s="96">
        <f>+E21*F21</f>
        <v>12723507.965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12723507.965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0.65466666009942798</v>
      </c>
      <c r="G34" s="67">
        <f>+E34*F34</f>
        <v>60018.316283093547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0.7</v>
      </c>
      <c r="G35" s="67">
        <f>+E35*F35</f>
        <v>41316.058510531031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101334.37479362458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12834975.777272986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1925246.3665909478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641748.78886364936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641748.78886364936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3208743.944318247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16043720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1801</v>
      </c>
      <c r="H7" s="23"/>
    </row>
    <row r="8" spans="1:8" ht="22.5" customHeight="1">
      <c r="A8" s="1235" t="s">
        <v>1567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12160.054480332396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12160.054480332396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1.75" customHeight="1">
      <c r="A21" s="1215" t="s">
        <v>1546</v>
      </c>
      <c r="B21" s="1207"/>
      <c r="C21" s="1208"/>
      <c r="D21" s="100" t="s">
        <v>41</v>
      </c>
      <c r="E21" s="98">
        <f>+MATERIALES!E124</f>
        <v>17946142.480000004</v>
      </c>
      <c r="F21" s="122">
        <v>1</v>
      </c>
      <c r="G21" s="96">
        <f>+E21*F21</f>
        <v>17946142.480000004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17946142.480000004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0.7411109187941729</v>
      </c>
      <c r="G34" s="67">
        <f>+E34*F34</f>
        <v>67943.324803323965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0.9090909286621891</v>
      </c>
      <c r="G35" s="67">
        <f>+E35*F35</f>
        <v>53657.219999999994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121600.54480332395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18079903.079283662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2711985.4618925494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903995.15396418318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903995.15396418318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4519975.7698209155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22599879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1802</v>
      </c>
      <c r="H7" s="23"/>
    </row>
    <row r="8" spans="1:8" ht="22.5" customHeight="1">
      <c r="A8" s="1235" t="s">
        <v>1566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12160.054480332396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12160.054480332396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3.25" customHeight="1">
      <c r="A21" s="1215" t="s">
        <v>1547</v>
      </c>
      <c r="B21" s="1207"/>
      <c r="C21" s="1208"/>
      <c r="D21" s="100" t="s">
        <v>41</v>
      </c>
      <c r="E21" s="98">
        <f>+MATERIALES!E125</f>
        <v>35842930.900000006</v>
      </c>
      <c r="F21" s="122">
        <v>1</v>
      </c>
      <c r="G21" s="96">
        <f>+E21*F21</f>
        <v>35842930.900000006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35842930.900000006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0.7411109187941729</v>
      </c>
      <c r="G34" s="67">
        <f>+E34*F34</f>
        <v>67943.324803323965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0.9090909286621891</v>
      </c>
      <c r="G35" s="67">
        <f>+E35*F35</f>
        <v>53657.219999999994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121600.54480332395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35976691.499283656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5396503.7248925483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1798834.5749641829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1798834.5749641829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8994172.8748209141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44970864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054" t="s">
        <v>318</v>
      </c>
      <c r="B5" s="1055"/>
      <c r="C5" s="1056"/>
      <c r="D5" s="1042"/>
      <c r="E5" s="1043"/>
      <c r="F5" s="1043"/>
      <c r="G5" s="1043"/>
      <c r="H5" s="104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1803</v>
      </c>
      <c r="H7" s="23"/>
    </row>
    <row r="8" spans="1:8" ht="22.5" customHeight="1">
      <c r="A8" s="1235" t="s">
        <v>1565</v>
      </c>
      <c r="B8" s="1235"/>
      <c r="C8" s="1235"/>
      <c r="D8" s="1235"/>
      <c r="E8" s="1235"/>
      <c r="F8" s="1235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045" t="s">
        <v>283</v>
      </c>
      <c r="B11" s="1046"/>
      <c r="C11" s="1047"/>
      <c r="D11" s="1047" t="s">
        <v>284</v>
      </c>
      <c r="E11" s="27" t="s">
        <v>285</v>
      </c>
      <c r="F11" s="1047" t="s">
        <v>286</v>
      </c>
      <c r="G11" s="1046" t="s">
        <v>287</v>
      </c>
      <c r="H11" s="29"/>
    </row>
    <row r="12" spans="1:8">
      <c r="A12" s="134" t="s">
        <v>834</v>
      </c>
      <c r="B12" s="1060"/>
      <c r="C12" s="1061"/>
      <c r="D12" s="30"/>
      <c r="E12" s="48"/>
      <c r="F12" s="120"/>
      <c r="G12" s="33">
        <f>H38*10%</f>
        <v>12160.054480332396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1048"/>
      <c r="B14" s="1049"/>
      <c r="C14" s="1050"/>
      <c r="D14" s="35"/>
      <c r="E14" s="36"/>
      <c r="F14" s="31"/>
      <c r="G14" s="33"/>
      <c r="H14" s="34"/>
    </row>
    <row r="15" spans="1:8">
      <c r="A15" s="1048"/>
      <c r="B15" s="1049"/>
      <c r="C15" s="1050"/>
      <c r="D15" s="35"/>
      <c r="E15" s="36"/>
      <c r="F15" s="31"/>
      <c r="G15" s="33"/>
      <c r="H15" s="34"/>
    </row>
    <row r="16" spans="1:8">
      <c r="A16" s="1048"/>
      <c r="B16" s="1049"/>
      <c r="C16" s="1050"/>
      <c r="D16" s="35"/>
      <c r="E16" s="36"/>
      <c r="F16" s="31"/>
      <c r="G16" s="33"/>
      <c r="H16" s="34"/>
    </row>
    <row r="17" spans="1:8" ht="15" thickBot="1">
      <c r="A17" s="1051"/>
      <c r="B17" s="1052"/>
      <c r="C17" s="1053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12160.054480332396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057" t="s">
        <v>283</v>
      </c>
      <c r="B20" s="1058"/>
      <c r="C20" s="1059"/>
      <c r="D20" s="1059" t="s">
        <v>291</v>
      </c>
      <c r="E20" s="1059" t="s">
        <v>292</v>
      </c>
      <c r="F20" s="1059" t="s">
        <v>293</v>
      </c>
      <c r="G20" s="1058" t="s">
        <v>287</v>
      </c>
      <c r="H20" s="29"/>
    </row>
    <row r="21" spans="1:8" ht="24.75" customHeight="1">
      <c r="A21" s="1215" t="s">
        <v>1548</v>
      </c>
      <c r="B21" s="1207"/>
      <c r="C21" s="1208"/>
      <c r="D21" s="100" t="s">
        <v>41</v>
      </c>
      <c r="E21" s="98">
        <f>+MATERIALES!E126</f>
        <v>40251812.475000001</v>
      </c>
      <c r="F21" s="122">
        <v>1</v>
      </c>
      <c r="G21" s="96">
        <f>+E21*F21</f>
        <v>40251812.475000001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40251812.475000001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045" t="s">
        <v>295</v>
      </c>
      <c r="B27" s="1047"/>
      <c r="C27" s="55" t="s">
        <v>296</v>
      </c>
      <c r="D27" s="1047" t="s">
        <v>297</v>
      </c>
      <c r="E27" s="1047" t="s">
        <v>298</v>
      </c>
      <c r="F27" s="104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045" t="s">
        <v>301</v>
      </c>
      <c r="B33" s="1047"/>
      <c r="C33" s="1047" t="s">
        <v>302</v>
      </c>
      <c r="D33" s="1047" t="s">
        <v>303</v>
      </c>
      <c r="E33" s="85" t="s">
        <v>304</v>
      </c>
      <c r="F33" s="64" t="s">
        <v>286</v>
      </c>
      <c r="G33" s="1046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0.7411109187941729</v>
      </c>
      <c r="G34" s="67">
        <f>+E34*F34</f>
        <v>67943.324803323965</v>
      </c>
      <c r="H34" s="34"/>
    </row>
    <row r="35" spans="1:8">
      <c r="A35" s="45" t="s">
        <v>807</v>
      </c>
      <c r="B35" s="46"/>
      <c r="C35" s="65">
        <f>+SALARIOS!C48*1</f>
        <v>32688.566666666666</v>
      </c>
      <c r="D35" s="66">
        <f>+SALARIOS!D48</f>
        <v>1.8056142176927319</v>
      </c>
      <c r="E35" s="31">
        <f>+C35*D35</f>
        <v>59022.940729330046</v>
      </c>
      <c r="F35" s="31">
        <v>0.9090909286621891</v>
      </c>
      <c r="G35" s="67">
        <f>+E35*F35</f>
        <v>53657.219999999994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121600.54480332395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40385573.074283652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1058"/>
      <c r="C42" s="1058"/>
      <c r="D42" s="1058"/>
      <c r="E42" s="1059"/>
      <c r="F42" s="1059" t="s">
        <v>308</v>
      </c>
      <c r="G42" s="105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6057835.9611425474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2019278.6537141828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2019278.6537141828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10096393.268570913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50481966</v>
      </c>
    </row>
  </sheetData>
  <mergeCells count="3">
    <mergeCell ref="A3:C4"/>
    <mergeCell ref="A8:F8"/>
    <mergeCell ref="A21:C21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1804</v>
      </c>
      <c r="H7" s="23"/>
    </row>
    <row r="8" spans="1:8">
      <c r="A8" s="22" t="s">
        <v>816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332"/>
      <c r="C12" s="333"/>
      <c r="D12" s="30"/>
      <c r="E12" s="48"/>
      <c r="F12" s="120"/>
      <c r="G12" s="33">
        <f>H38*10%</f>
        <v>1111.827</v>
      </c>
      <c r="H12" s="34"/>
    </row>
    <row r="13" spans="1:8"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1111.827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928</v>
      </c>
      <c r="B21" s="46"/>
      <c r="C21" s="47"/>
      <c r="D21" s="100" t="s">
        <v>41</v>
      </c>
      <c r="E21" s="98">
        <f>MATERIALES!E127</f>
        <v>842223.09499999997</v>
      </c>
      <c r="F21" s="122">
        <v>1</v>
      </c>
      <c r="G21" s="96">
        <f>+E21*F21</f>
        <v>842223.09499999997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842223.09499999997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4.53885382005162E-2</v>
      </c>
      <c r="G35" s="67">
        <f>+E35*F35</f>
        <v>5357.93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854453.19200000004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128167.9788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42722.659600000006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42722.659600000006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213613.29800000001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1068066</v>
      </c>
    </row>
  </sheetData>
  <mergeCells count="1">
    <mergeCell ref="A3:C4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1805</v>
      </c>
      <c r="H7" s="23"/>
    </row>
    <row r="8" spans="1:8">
      <c r="A8" s="22" t="s">
        <v>817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670"/>
      <c r="C12" s="671"/>
      <c r="D12" s="30"/>
      <c r="E12" s="48"/>
      <c r="F12" s="120"/>
      <c r="G12" s="33">
        <f>H38*10%</f>
        <v>1111.827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1111.827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927</v>
      </c>
      <c r="B21" s="46"/>
      <c r="C21" s="47"/>
      <c r="D21" s="100" t="s">
        <v>41</v>
      </c>
      <c r="E21" s="98">
        <f>MATERIALES!E128</f>
        <v>901568.39500000002</v>
      </c>
      <c r="F21" s="122">
        <v>1</v>
      </c>
      <c r="G21" s="96">
        <f>+E21*F21</f>
        <v>901568.39500000002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901568.39500000002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6.2832528174393568E-2</v>
      </c>
      <c r="G34" s="67">
        <f>+E34*F34</f>
        <v>5760.3400000000011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4.53885382005162E-2</v>
      </c>
      <c r="G35" s="67">
        <f>+E35*F35</f>
        <v>5357.93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11118.27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913798.49200000009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137069.7738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45689.924600000006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45689.924600000006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228449.62299999999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1142248</v>
      </c>
    </row>
  </sheetData>
  <mergeCells count="1">
    <mergeCell ref="A3:C4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1806</v>
      </c>
      <c r="H7" s="23"/>
    </row>
    <row r="8" spans="1:8">
      <c r="A8" s="22" t="s">
        <v>1578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670"/>
      <c r="C12" s="671"/>
      <c r="D12" s="30"/>
      <c r="E12" s="48"/>
      <c r="F12" s="120"/>
      <c r="G12" s="33">
        <f>H38*10%</f>
        <v>2098.2100813980951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2098.2100813980951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929</v>
      </c>
      <c r="B21" s="46"/>
      <c r="C21" s="47"/>
      <c r="D21" s="100" t="s">
        <v>41</v>
      </c>
      <c r="E21" s="98">
        <f>MATERIALES!E129</f>
        <v>993107.36</v>
      </c>
      <c r="F21" s="122">
        <v>1</v>
      </c>
      <c r="G21" s="96">
        <f>+E21*F21</f>
        <v>993107.36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993107.36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</v>
      </c>
      <c r="G34" s="67">
        <f>E34*F34</f>
        <v>11001.320813980945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8.4550006121944132E-2</v>
      </c>
      <c r="G35" s="67">
        <f>+E35*F35</f>
        <v>9980.7800000000025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20982.100813980949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1016187.670895379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152428.15063430686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50809.383544768956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50809.383544768956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254046.91772384479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1270235</v>
      </c>
    </row>
  </sheetData>
  <mergeCells count="1">
    <mergeCell ref="A3:C4"/>
  </mergeCell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1807</v>
      </c>
      <c r="H7" s="23"/>
    </row>
    <row r="8" spans="1:8">
      <c r="A8" s="22" t="s">
        <v>1579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670"/>
      <c r="C12" s="671"/>
      <c r="D12" s="30"/>
      <c r="E12" s="48"/>
      <c r="F12" s="120"/>
      <c r="G12" s="33">
        <f>H38*10%</f>
        <v>2098.2100813980951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2098.2100813980951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930</v>
      </c>
      <c r="B21" s="46"/>
      <c r="C21" s="47"/>
      <c r="D21" s="100" t="s">
        <v>41</v>
      </c>
      <c r="E21" s="98">
        <f>MATERIALES!E130</f>
        <v>1746862.88</v>
      </c>
      <c r="F21" s="122">
        <v>1</v>
      </c>
      <c r="G21" s="96">
        <f>+E21*F21</f>
        <v>1746862.88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1746862.88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</v>
      </c>
      <c r="G34" s="67">
        <f>E34*F34</f>
        <v>11001.320813980945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8.4550006121944132E-2</v>
      </c>
      <c r="G35" s="67">
        <f>+E35*F35</f>
        <v>9980.7800000000025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20982.100813980949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1769943.1908953788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265491.47863430681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88497.159544768947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88497.159544768947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442485.79772384476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2212429</v>
      </c>
    </row>
  </sheetData>
  <mergeCells count="1">
    <mergeCell ref="A3:C4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1808</v>
      </c>
      <c r="H7" s="23"/>
    </row>
    <row r="8" spans="1:8">
      <c r="A8" s="22" t="s">
        <v>1580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670"/>
      <c r="C12" s="671"/>
      <c r="D12" s="30"/>
      <c r="E12" s="48"/>
      <c r="F12" s="120"/>
      <c r="G12" s="33">
        <f>H38*10%</f>
        <v>5196.5535283371155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5196.5535283371155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931</v>
      </c>
      <c r="B21" s="46"/>
      <c r="C21" s="47"/>
      <c r="D21" s="100" t="s">
        <v>41</v>
      </c>
      <c r="E21" s="98">
        <f>MATERIALES!E131</f>
        <v>4551038.38</v>
      </c>
      <c r="F21" s="122">
        <v>1</v>
      </c>
      <c r="G21" s="96">
        <f>+E21*F21</f>
        <v>4551038.38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4551038.38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0.34149542467648497</v>
      </c>
      <c r="G34" s="67">
        <v>31307.506028105636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0.35</v>
      </c>
      <c r="G35" s="67"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51965.535283371151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4608200.4688117076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691230.07032175607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230410.02344058538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230410.02344058538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1152050.1172029269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5760251</v>
      </c>
    </row>
  </sheetData>
  <mergeCells count="1">
    <mergeCell ref="A3:C4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814</v>
      </c>
      <c r="B7" s="24"/>
      <c r="C7" s="23"/>
      <c r="D7" s="2"/>
      <c r="E7" s="24"/>
      <c r="F7" s="2"/>
      <c r="G7" s="24" t="s">
        <v>1809</v>
      </c>
      <c r="H7" s="23"/>
    </row>
    <row r="8" spans="1:8">
      <c r="A8" s="22" t="s">
        <v>1581</v>
      </c>
      <c r="B8" s="24"/>
      <c r="C8" s="23"/>
      <c r="D8" s="24"/>
      <c r="E8" s="24"/>
      <c r="F8" s="24"/>
      <c r="G8" s="24" t="s">
        <v>692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670"/>
      <c r="C12" s="671"/>
      <c r="D12" s="30"/>
      <c r="E12" s="48"/>
      <c r="F12" s="120"/>
      <c r="G12" s="33">
        <f>H38*10%</f>
        <v>5196.5535283371155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5196.5535283371155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 t="s">
        <v>932</v>
      </c>
      <c r="B21" s="46"/>
      <c r="C21" s="47"/>
      <c r="D21" s="100" t="s">
        <v>41</v>
      </c>
      <c r="E21" s="98">
        <f>MATERIALES!E132</f>
        <v>7309838.585</v>
      </c>
      <c r="F21" s="122">
        <v>1</v>
      </c>
      <c r="G21" s="96">
        <f>+E21*F21</f>
        <v>7309838.585</v>
      </c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7309838.585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0.34149542467648497</v>
      </c>
      <c r="G34" s="67">
        <v>31307.506028105636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0.35</v>
      </c>
      <c r="G35" s="67">
        <v>20658.029255265516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51965.535283371151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7367000.6738117076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1105050.1010717561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368350.03369058541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368350.03369058541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1841750.1684529269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9208751</v>
      </c>
    </row>
  </sheetData>
  <mergeCells count="1">
    <mergeCell ref="A3:C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J18" sqref="J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376</v>
      </c>
      <c r="B7" s="24"/>
      <c r="C7" s="23"/>
      <c r="D7" s="2"/>
      <c r="E7" s="24"/>
      <c r="F7" s="2"/>
      <c r="G7" s="24" t="s">
        <v>375</v>
      </c>
      <c r="H7" s="23"/>
    </row>
    <row r="8" spans="1:8">
      <c r="A8" s="22" t="s">
        <v>362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4044.7550584334385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14280.15505843344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C34*D34</f>
        <v>118045.88145866009</v>
      </c>
      <c r="F34" s="59">
        <v>0.34264262407578533</v>
      </c>
      <c r="G34" s="67">
        <f>E34*F34</f>
        <v>40447.550584334385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40447.550584334385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54727.705642767825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8209.1558464151731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2736.3852821383916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2736.3852821383916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13681.926410691956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68410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1022</v>
      </c>
      <c r="B7" s="24"/>
      <c r="C7" s="23"/>
      <c r="D7" s="2"/>
      <c r="E7" s="24"/>
      <c r="F7" s="2"/>
      <c r="G7" s="24" t="s">
        <v>1610</v>
      </c>
      <c r="H7" s="23"/>
    </row>
    <row r="8" spans="1:8">
      <c r="A8" s="22" t="s">
        <v>819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753.56233292114109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753.56233292114109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27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17" t="s">
        <v>295</v>
      </c>
      <c r="B26" s="319"/>
      <c r="C26" s="55" t="s">
        <v>296</v>
      </c>
      <c r="D26" s="319" t="s">
        <v>297</v>
      </c>
      <c r="E26" s="319" t="s">
        <v>298</v>
      </c>
      <c r="F26" s="31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17" t="s">
        <v>301</v>
      </c>
      <c r="B32" s="319"/>
      <c r="C32" s="319" t="s">
        <v>302</v>
      </c>
      <c r="D32" s="319" t="s">
        <v>303</v>
      </c>
      <c r="E32" s="85" t="s">
        <v>304</v>
      </c>
      <c r="F32" s="64" t="s">
        <v>286</v>
      </c>
      <c r="G32" s="31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4.0816371742323554E-2</v>
      </c>
      <c r="G33" s="67">
        <f>+E33*F33</f>
        <v>3741.9500000000653</v>
      </c>
      <c r="H33" s="34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3.2137278169589487E-2</v>
      </c>
      <c r="G34" s="67">
        <f>+E34*F34</f>
        <v>3793.6733292113454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7535.6233292114102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8289.1856621325514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30"/>
      <c r="C41" s="330"/>
      <c r="D41" s="330"/>
      <c r="E41" s="331"/>
      <c r="F41" s="331" t="s">
        <v>308</v>
      </c>
      <c r="G41" s="33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1243.3778493198827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414.45928310662759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414.45928310662759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2072.2964155331379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10361</v>
      </c>
    </row>
  </sheetData>
  <mergeCells count="1">
    <mergeCell ref="A3:C4"/>
  </mergeCell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1611</v>
      </c>
      <c r="H7" s="23"/>
    </row>
    <row r="8" spans="1:8">
      <c r="A8" s="22" t="s">
        <v>820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1168.5123790775322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1168.5123790775322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6.3291091294704671E-2</v>
      </c>
      <c r="G34" s="67">
        <f>+E34*F34</f>
        <v>5802.3800000000228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4.9834384038510038E-2</v>
      </c>
      <c r="G35" s="67">
        <f>+E35*F35</f>
        <v>5882.7437907752983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11685.12379077532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12853.636169852853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1928.0454254779279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642.68180849264263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642.68180849264263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3213.4090424632132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16067</v>
      </c>
    </row>
  </sheetData>
  <mergeCells count="1">
    <mergeCell ref="A3:C4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7"/>
  <sheetViews>
    <sheetView topLeftCell="A37" workbookViewId="0">
      <selection activeCell="H47" sqref="H4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1612</v>
      </c>
      <c r="H7" s="23"/>
    </row>
    <row r="8" spans="1:8">
      <c r="A8" s="22" t="s">
        <v>821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1494.9533075334066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1494.9533075334066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29" t="s">
        <v>283</v>
      </c>
      <c r="B19" s="330"/>
      <c r="C19" s="331"/>
      <c r="D19" s="331" t="s">
        <v>291</v>
      </c>
      <c r="E19" s="331" t="s">
        <v>292</v>
      </c>
      <c r="F19" s="331" t="s">
        <v>293</v>
      </c>
      <c r="G19" s="330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1"/>
      <c r="G21" s="31"/>
      <c r="H21" s="21"/>
    </row>
    <row r="22" spans="1:8">
      <c r="A22" s="87"/>
      <c r="B22" s="88"/>
      <c r="C22" s="89"/>
      <c r="D22" s="90"/>
      <c r="E22" s="91"/>
      <c r="F22" s="274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17" t="s">
        <v>295</v>
      </c>
      <c r="B26" s="319"/>
      <c r="C26" s="55" t="s">
        <v>296</v>
      </c>
      <c r="D26" s="319" t="s">
        <v>297</v>
      </c>
      <c r="E26" s="319" t="s">
        <v>298</v>
      </c>
      <c r="F26" s="319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17" t="s">
        <v>301</v>
      </c>
      <c r="B32" s="319"/>
      <c r="C32" s="319" t="s">
        <v>302</v>
      </c>
      <c r="D32" s="319" t="s">
        <v>303</v>
      </c>
      <c r="E32" s="85" t="s">
        <v>304</v>
      </c>
      <c r="F32" s="64" t="s">
        <v>286</v>
      </c>
      <c r="G32" s="318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8.0971731945853165E-2</v>
      </c>
      <c r="G33" s="67">
        <f>+E33*F33</f>
        <v>7423.300000000002</v>
      </c>
      <c r="H33" s="34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6.3756845917320407E-2</v>
      </c>
      <c r="G34" s="67">
        <f>+E34*F34</f>
        <v>7526.2330753340611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14949.533075334064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16444.486382867472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30"/>
      <c r="C41" s="330"/>
      <c r="D41" s="330"/>
      <c r="E41" s="331"/>
      <c r="F41" s="331" t="s">
        <v>308</v>
      </c>
      <c r="G41" s="330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2466.6729574301207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822.22431914337358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822.22431914337358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4111.1215957168679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20556</v>
      </c>
    </row>
  </sheetData>
  <mergeCells count="1">
    <mergeCell ref="A3:C4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1613</v>
      </c>
      <c r="H7" s="23"/>
    </row>
    <row r="8" spans="1:8">
      <c r="A8" s="22" t="s">
        <v>822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2221.7188521697149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2221.7188521697149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9.4339654078722468E-2</v>
      </c>
      <c r="G34" s="67">
        <f>+E34*F34</f>
        <v>8648.8400000000984</v>
      </c>
      <c r="H34" s="34"/>
    </row>
    <row r="35" spans="1:8">
      <c r="A35" s="45" t="s">
        <v>351</v>
      </c>
      <c r="B35" s="46"/>
      <c r="C35" s="65">
        <f>+SALARIOS!C48*3</f>
        <v>98065.7</v>
      </c>
      <c r="D35" s="66">
        <f>+SALARIOS!D48</f>
        <v>1.8056142176927319</v>
      </c>
      <c r="E35" s="31">
        <f>+C35*D35</f>
        <v>177068.82218799012</v>
      </c>
      <c r="F35" s="31">
        <v>7.6627541506385732E-2</v>
      </c>
      <c r="G35" s="67">
        <f>+E35*F35</f>
        <v>13568.348521697048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22217.188521697146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24438.907373866859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3665.8361060800289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1221.945368693343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1221.945368693343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6109.7268434667149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30549</v>
      </c>
    </row>
  </sheetData>
  <mergeCells count="1">
    <mergeCell ref="A3:C4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1614</v>
      </c>
      <c r="H7" s="23"/>
    </row>
    <row r="8" spans="1:8">
      <c r="A8" s="22" t="s">
        <v>823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2943.7848769763968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2943.7848769763968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0.11</v>
      </c>
      <c r="G34" s="67">
        <f>+E34*F34</f>
        <v>10084.544079482534</v>
      </c>
      <c r="H34" s="34"/>
    </row>
    <row r="35" spans="1:8">
      <c r="A35" s="45" t="s">
        <v>351</v>
      </c>
      <c r="B35" s="46"/>
      <c r="C35" s="65">
        <f>+SALARIOS!C48*3</f>
        <v>98065.7</v>
      </c>
      <c r="D35" s="66">
        <f>+SALARIOS!D48</f>
        <v>1.8056142176927319</v>
      </c>
      <c r="E35" s="31">
        <f>+C35*D35</f>
        <v>177068.82218799012</v>
      </c>
      <c r="F35" s="31">
        <v>0.10929820648908169</v>
      </c>
      <c r="G35" s="67">
        <f>+E35*F35</f>
        <v>19353.304690281435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29437.848769763968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32381.633646740367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4857.2450470110552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1619.0816823370185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1619.0816823370185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8095.4084116850927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40477</v>
      </c>
    </row>
  </sheetData>
  <mergeCells count="1">
    <mergeCell ref="A3:C4"/>
  </mergeCell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1615</v>
      </c>
      <c r="H7" s="23"/>
    </row>
    <row r="8" spans="1:8">
      <c r="A8" s="22" t="s">
        <v>824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3695.3743603304665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3695.3743603304665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0.12903228839540892</v>
      </c>
      <c r="G34" s="67">
        <f>+E34*F34</f>
        <v>11829.380000000036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0.10641778981549317</v>
      </c>
      <c r="G35" s="67">
        <f>+E35*F35</f>
        <v>25124.363603304624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36953.743603304662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40649.11796363513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6097.3676945452689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2032.4558981817565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2032.4558981817565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10162.279490908782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50811</v>
      </c>
    </row>
  </sheetData>
  <mergeCells count="1">
    <mergeCell ref="A3:C4"/>
  </mergeCell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1616</v>
      </c>
      <c r="H7" s="23"/>
    </row>
    <row r="8" spans="1:8">
      <c r="A8" s="22" t="s">
        <v>825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5114.0283025426579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5114.0283025426579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0.16</v>
      </c>
      <c r="G34" s="67">
        <f>+E34*F34</f>
        <v>14668.427751974594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0.15448169314667917</v>
      </c>
      <c r="G35" s="67">
        <f>+E35*F35</f>
        <v>36471.855273451984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51140.283025426579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56254.311327969233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8438.1466991953839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2812.7155663984618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2812.7155663984618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14063.577831992307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70318</v>
      </c>
    </row>
  </sheetData>
  <mergeCells count="1">
    <mergeCell ref="A3:C4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1617</v>
      </c>
      <c r="H7" s="23"/>
    </row>
    <row r="8" spans="1:8">
      <c r="A8" s="22" t="s">
        <v>826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5403.5884489825175</v>
      </c>
      <c r="H12" s="34"/>
    </row>
    <row r="13" spans="1:8">
      <c r="A13" s="134"/>
      <c r="B13" s="135"/>
      <c r="C13" s="133"/>
      <c r="D13" s="133"/>
      <c r="E13" s="132"/>
      <c r="F13" s="31"/>
      <c r="G13" s="132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5403.5884489825175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0.17</v>
      </c>
      <c r="G34" s="67">
        <f>+E34*F34</f>
        <v>15585.204486473007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0.16286328471704314</v>
      </c>
      <c r="G35" s="67">
        <f>+E35*F35</f>
        <v>38450.680003352165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54035.88448982517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59439.472938807688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8915.9209408211536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2971.9736469403847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2971.9736469403847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14859.868234701924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74299</v>
      </c>
    </row>
  </sheetData>
  <mergeCells count="1">
    <mergeCell ref="A3:C4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K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1618</v>
      </c>
      <c r="H7" s="23"/>
    </row>
    <row r="8" spans="1:8">
      <c r="A8" s="22" t="s">
        <v>827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4083.6767447199782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11" ht="15" thickBot="1">
      <c r="A17" s="323"/>
      <c r="B17" s="324"/>
      <c r="C17" s="325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30681.377894145284</v>
      </c>
      <c r="K18" s="148"/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11">
      <c r="A21" s="86"/>
      <c r="B21" s="46"/>
      <c r="C21" s="47"/>
      <c r="D21" s="100"/>
      <c r="E21" s="98"/>
      <c r="F21" s="122"/>
      <c r="G21" s="96"/>
      <c r="H21" s="21"/>
    </row>
    <row r="22" spans="1:11">
      <c r="A22" s="86"/>
      <c r="B22" s="46"/>
      <c r="C22" s="47"/>
      <c r="D22" s="30"/>
      <c r="E22" s="101"/>
      <c r="F22" s="31"/>
      <c r="G22" s="31"/>
      <c r="H22" s="21"/>
    </row>
    <row r="23" spans="1:11">
      <c r="A23" s="87"/>
      <c r="B23" s="88"/>
      <c r="C23" s="89"/>
      <c r="D23" s="90"/>
      <c r="E23" s="91"/>
      <c r="F23" s="274"/>
      <c r="G23" s="97"/>
      <c r="H23" s="21"/>
    </row>
    <row r="24" spans="1:11" ht="15" thickBot="1">
      <c r="A24" s="51"/>
      <c r="B24" s="52"/>
      <c r="C24" s="53"/>
      <c r="D24" s="38"/>
      <c r="E24" s="39"/>
      <c r="F24" s="40"/>
      <c r="G24" s="41"/>
      <c r="H24" s="42"/>
    </row>
    <row r="25" spans="1:11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11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11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11">
      <c r="A28" s="45"/>
      <c r="B28" s="46"/>
      <c r="C28" s="57"/>
      <c r="D28" s="58"/>
      <c r="E28" s="58"/>
      <c r="F28" s="59"/>
      <c r="G28" s="59"/>
      <c r="H28" s="34"/>
    </row>
    <row r="29" spans="1:11">
      <c r="A29" s="45"/>
      <c r="B29" s="46"/>
      <c r="C29" s="60"/>
      <c r="D29" s="30"/>
      <c r="E29" s="58"/>
      <c r="F29" s="59"/>
      <c r="G29" s="59"/>
      <c r="H29" s="34"/>
    </row>
    <row r="30" spans="1:11" ht="15" thickBot="1">
      <c r="A30" s="62"/>
      <c r="B30" s="63"/>
      <c r="C30" s="38"/>
      <c r="D30" s="38"/>
      <c r="E30" s="170"/>
      <c r="F30" s="171"/>
      <c r="G30" s="38"/>
      <c r="H30" s="34"/>
    </row>
    <row r="31" spans="1:11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11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0.15625003843315577</v>
      </c>
      <c r="G34" s="67">
        <f>+E34*F34</f>
        <v>14324.639999999994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0.11229585954036181</v>
      </c>
      <c r="G35" s="67">
        <f>+E35*F35</f>
        <v>26512.127447199789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40836.767447199782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71518.145341345065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10727.72180120176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3575.9072670672535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3575.9072670672535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17879.536335336266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89398</v>
      </c>
    </row>
  </sheetData>
  <mergeCells count="1">
    <mergeCell ref="A3:C4"/>
  </mergeCell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1619</v>
      </c>
      <c r="H7" s="23"/>
    </row>
    <row r="8" spans="1:8">
      <c r="A8" s="22" t="s">
        <v>828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4815.9597058104746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31413.660855235779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0.1818182047248369</v>
      </c>
      <c r="G34" s="67">
        <f>+E34*F34</f>
        <v>16668.669999999973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0.13338426834117442</v>
      </c>
      <c r="G35" s="67">
        <f>+E35*F35</f>
        <v>31490.927058104768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48159.597058104744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79573.257913340523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11935.988687001078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3978.6628956670265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3978.6628956670265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19893.314478335131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99467</v>
      </c>
    </row>
  </sheetData>
  <mergeCells count="1">
    <mergeCell ref="A3:C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L23" sqref="L2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376</v>
      </c>
      <c r="B7" s="24"/>
      <c r="C7" s="23"/>
      <c r="D7" s="2"/>
      <c r="E7" s="24"/>
      <c r="F7" s="2"/>
      <c r="G7" s="24" t="s">
        <v>377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6492.1068864432609</v>
      </c>
      <c r="H12" s="34"/>
    </row>
    <row r="13" spans="1:8">
      <c r="A13" s="541" t="s">
        <v>43</v>
      </c>
      <c r="B13" s="135"/>
      <c r="C13" s="133"/>
      <c r="D13" s="133" t="s">
        <v>7</v>
      </c>
      <c r="E13" s="132">
        <f>+'EQUIPOS '!D6</f>
        <v>84117</v>
      </c>
      <c r="F13" s="488">
        <v>6.6669044307333003E-2</v>
      </c>
      <c r="G13" s="132">
        <f>ROUND(+E13*F13,2)</f>
        <v>5608</v>
      </c>
      <c r="H13" s="34"/>
    </row>
    <row r="14" spans="1:8">
      <c r="A14" s="134" t="s">
        <v>1048</v>
      </c>
      <c r="B14" s="135"/>
      <c r="C14" s="133"/>
      <c r="D14" s="133" t="s">
        <v>7</v>
      </c>
      <c r="E14" s="132">
        <f>'EQUIPOS '!D5</f>
        <v>157367</v>
      </c>
      <c r="F14" s="488">
        <v>0.2</v>
      </c>
      <c r="G14" s="132">
        <f>E14*F14</f>
        <v>31473.4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43573.506886443261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C34*D34</f>
        <v>177068.82218799012</v>
      </c>
      <c r="F34" s="59">
        <v>0.3666431394427378</v>
      </c>
      <c r="G34" s="67">
        <f>E34*F34</f>
        <v>64921.068864432607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64921.068864432607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108494.57575087587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16274.186362631379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5424.7287875437942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5424.7287875437942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27123.643937718967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135618</v>
      </c>
    </row>
  </sheetData>
  <mergeCells count="11">
    <mergeCell ref="A33:B33"/>
    <mergeCell ref="A3:C4"/>
    <mergeCell ref="A5:C5"/>
    <mergeCell ref="D5:H5"/>
    <mergeCell ref="A11:C11"/>
    <mergeCell ref="A12:C12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48"/>
  <sheetViews>
    <sheetView topLeftCell="A16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818</v>
      </c>
      <c r="B7" s="24"/>
      <c r="C7" s="23"/>
      <c r="D7" s="2"/>
      <c r="E7" s="24"/>
      <c r="F7" s="2"/>
      <c r="G7" s="24" t="s">
        <v>1620</v>
      </c>
      <c r="H7" s="23"/>
    </row>
    <row r="8" spans="1:8">
      <c r="A8" s="22" t="s">
        <v>829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5973.1427626201094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>
      <c r="A16" s="320"/>
      <c r="B16" s="321"/>
      <c r="C16" s="322"/>
      <c r="D16" s="35"/>
      <c r="E16" s="36"/>
      <c r="F16" s="31"/>
      <c r="G16" s="33"/>
      <c r="H16" s="34"/>
    </row>
    <row r="17" spans="1:8" ht="15" thickBot="1">
      <c r="A17" s="323"/>
      <c r="B17" s="324"/>
      <c r="C17" s="325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32570.843912045413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329" t="s">
        <v>283</v>
      </c>
      <c r="B20" s="330"/>
      <c r="C20" s="331"/>
      <c r="D20" s="331" t="s">
        <v>291</v>
      </c>
      <c r="E20" s="331" t="s">
        <v>292</v>
      </c>
      <c r="F20" s="331" t="s">
        <v>293</v>
      </c>
      <c r="G20" s="330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1"/>
      <c r="G22" s="31"/>
      <c r="H22" s="21"/>
    </row>
    <row r="23" spans="1:8">
      <c r="A23" s="87"/>
      <c r="B23" s="88"/>
      <c r="C23" s="89"/>
      <c r="D23" s="90"/>
      <c r="E23" s="91"/>
      <c r="F23" s="274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0.22222226233900244</v>
      </c>
      <c r="G34" s="67">
        <f>+E34*F34</f>
        <v>20372.820000000014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0.16670894037071737</v>
      </c>
      <c r="G35" s="67">
        <f>+E35*F35</f>
        <v>39358.607626201076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59731.42762620109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H18+H25+H31+H38</f>
        <v>92302.27153824651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13845.340730736976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4615.1135769123257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4615.1135769123257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23075.567884561628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115378</v>
      </c>
    </row>
  </sheetData>
  <mergeCells count="1">
    <mergeCell ref="A3:C4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26" t="s">
        <v>318</v>
      </c>
      <c r="B5" s="327"/>
      <c r="C5" s="328"/>
      <c r="D5" s="314"/>
      <c r="E5" s="315"/>
      <c r="F5" s="315"/>
      <c r="G5" s="315"/>
      <c r="H5" s="31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1621</v>
      </c>
      <c r="H7" s="23"/>
    </row>
    <row r="8" spans="1:8">
      <c r="A8" s="22" t="s">
        <v>819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17" t="s">
        <v>283</v>
      </c>
      <c r="B11" s="318"/>
      <c r="C11" s="319"/>
      <c r="D11" s="319" t="s">
        <v>284</v>
      </c>
      <c r="E11" s="27" t="s">
        <v>285</v>
      </c>
      <c r="F11" s="319" t="s">
        <v>286</v>
      </c>
      <c r="G11" s="318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753.56233292114109</v>
      </c>
      <c r="H12" s="34"/>
    </row>
    <row r="13" spans="1:8">
      <c r="A13" s="320"/>
      <c r="B13" s="321"/>
      <c r="C13" s="322"/>
      <c r="D13" s="35"/>
      <c r="E13" s="36"/>
      <c r="F13" s="31"/>
      <c r="G13" s="33"/>
      <c r="H13" s="34"/>
    </row>
    <row r="14" spans="1:8">
      <c r="A14" s="320"/>
      <c r="B14" s="321"/>
      <c r="C14" s="322"/>
      <c r="D14" s="35"/>
      <c r="E14" s="36"/>
      <c r="F14" s="31"/>
      <c r="G14" s="33"/>
      <c r="H14" s="34"/>
    </row>
    <row r="15" spans="1:8">
      <c r="A15" s="320"/>
      <c r="B15" s="321"/>
      <c r="C15" s="322"/>
      <c r="D15" s="35"/>
      <c r="E15" s="36"/>
      <c r="F15" s="31"/>
      <c r="G15" s="33"/>
      <c r="H15" s="34"/>
    </row>
    <row r="16" spans="1:8" ht="15" thickBot="1">
      <c r="A16" s="323"/>
      <c r="B16" s="324"/>
      <c r="C16" s="325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753.56233292114109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477" t="s">
        <v>283</v>
      </c>
      <c r="B19" s="478"/>
      <c r="C19" s="479"/>
      <c r="D19" s="479" t="s">
        <v>291</v>
      </c>
      <c r="E19" s="479" t="s">
        <v>292</v>
      </c>
      <c r="F19" s="479" t="s">
        <v>293</v>
      </c>
      <c r="G19" s="388" t="s">
        <v>287</v>
      </c>
      <c r="H19" s="484"/>
    </row>
    <row r="20" spans="1:8">
      <c r="A20" s="45" t="s">
        <v>1008</v>
      </c>
      <c r="B20" s="46"/>
      <c r="C20" s="47"/>
      <c r="D20" s="100" t="s">
        <v>1</v>
      </c>
      <c r="E20" s="98">
        <f>MATERIALES!E134</f>
        <v>10234</v>
      </c>
      <c r="F20" s="122">
        <v>1</v>
      </c>
      <c r="G20" s="485">
        <f>E20*F20</f>
        <v>10234</v>
      </c>
      <c r="H20" s="21"/>
    </row>
    <row r="21" spans="1:8">
      <c r="A21" s="45" t="s">
        <v>1009</v>
      </c>
      <c r="B21" s="46"/>
      <c r="C21" s="47"/>
      <c r="D21" s="100" t="s">
        <v>1010</v>
      </c>
      <c r="E21" s="98">
        <f>G20*25%</f>
        <v>2558.5</v>
      </c>
      <c r="F21" s="122">
        <v>1</v>
      </c>
      <c r="G21" s="485">
        <f>E21*F21</f>
        <v>2558.5</v>
      </c>
      <c r="H21" s="21"/>
    </row>
    <row r="22" spans="1:8">
      <c r="A22" s="45" t="s">
        <v>992</v>
      </c>
      <c r="B22" s="46"/>
      <c r="C22" s="47"/>
      <c r="D22" s="35" t="s">
        <v>41</v>
      </c>
      <c r="E22" s="101">
        <f>MATERIALES!E45</f>
        <v>17453.73</v>
      </c>
      <c r="F22" s="32">
        <v>8.0000000000000002E-3</v>
      </c>
      <c r="G22" s="67">
        <f>+E22*F22</f>
        <v>139.62984</v>
      </c>
      <c r="H22" s="21"/>
    </row>
    <row r="23" spans="1:8">
      <c r="A23" s="45" t="s">
        <v>808</v>
      </c>
      <c r="B23" s="46"/>
      <c r="C23" s="47"/>
      <c r="D23" s="30" t="s">
        <v>41</v>
      </c>
      <c r="E23" s="48">
        <f>MATERIALES!E28</f>
        <v>15181</v>
      </c>
      <c r="F23" s="32">
        <v>8.0000000000000002E-3</v>
      </c>
      <c r="G23" s="67">
        <f>+E23*F23</f>
        <v>121.44800000000001</v>
      </c>
      <c r="H23" s="21"/>
    </row>
    <row r="24" spans="1:8" ht="15" thickBot="1">
      <c r="A24" s="62"/>
      <c r="B24" s="68"/>
      <c r="C24" s="63"/>
      <c r="D24" s="38"/>
      <c r="E24" s="39"/>
      <c r="F24" s="40"/>
      <c r="G24" s="389"/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13053.57784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17" t="s">
        <v>295</v>
      </c>
      <c r="B27" s="319"/>
      <c r="C27" s="55" t="s">
        <v>296</v>
      </c>
      <c r="D27" s="319" t="s">
        <v>297</v>
      </c>
      <c r="E27" s="319" t="s">
        <v>298</v>
      </c>
      <c r="F27" s="319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17" t="s">
        <v>301</v>
      </c>
      <c r="B33" s="319"/>
      <c r="C33" s="319" t="s">
        <v>302</v>
      </c>
      <c r="D33" s="319" t="s">
        <v>303</v>
      </c>
      <c r="E33" s="85" t="s">
        <v>304</v>
      </c>
      <c r="F33" s="64" t="s">
        <v>286</v>
      </c>
      <c r="G33" s="318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4.0816371742323554E-2</v>
      </c>
      <c r="G34" s="67">
        <f>+E34*F34</f>
        <v>3741.9500000000653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3.2137278169589487E-2</v>
      </c>
      <c r="G35" s="67">
        <f>+E35*F35</f>
        <v>3793.6733292113454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7535.6233292114102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21342.763502132551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30"/>
      <c r="C42" s="330"/>
      <c r="D42" s="330"/>
      <c r="E42" s="331"/>
      <c r="F42" s="331" t="s">
        <v>308</v>
      </c>
      <c r="G42" s="330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3201.4145253198826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1067.1381751066276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1067.1381751066276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5335.6908755331378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26678</v>
      </c>
    </row>
  </sheetData>
  <mergeCells count="1">
    <mergeCell ref="A3:C4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8"/>
  <sheetViews>
    <sheetView topLeftCell="A19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1622</v>
      </c>
      <c r="H7" s="23"/>
    </row>
    <row r="8" spans="1:8">
      <c r="A8" s="22" t="s">
        <v>820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1168.5123790775322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1168.5123790775322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1011</v>
      </c>
      <c r="B20" s="46"/>
      <c r="C20" s="47"/>
      <c r="D20" s="100" t="s">
        <v>1</v>
      </c>
      <c r="E20" s="98">
        <f>+MATERIALES!E135</f>
        <v>22397</v>
      </c>
      <c r="F20" s="122">
        <v>1</v>
      </c>
      <c r="G20" s="96">
        <f>+E20*F20</f>
        <v>22397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1119.8500000000001</v>
      </c>
      <c r="F21" s="122">
        <v>1</v>
      </c>
      <c r="G21" s="485">
        <f>E21*F21</f>
        <v>1119.8500000000001</v>
      </c>
      <c r="H21" s="21"/>
    </row>
    <row r="22" spans="1:8">
      <c r="A22" s="45" t="s">
        <v>992</v>
      </c>
      <c r="B22" s="46"/>
      <c r="C22" s="47"/>
      <c r="D22" s="35" t="s">
        <v>41</v>
      </c>
      <c r="E22" s="101">
        <f>MATERIALES!E45</f>
        <v>17453.73</v>
      </c>
      <c r="F22" s="32">
        <v>8.0000000000000002E-3</v>
      </c>
      <c r="G22" s="67">
        <f>+E22*F22</f>
        <v>139.62984</v>
      </c>
      <c r="H22" s="21"/>
    </row>
    <row r="23" spans="1:8">
      <c r="A23" s="45" t="s">
        <v>808</v>
      </c>
      <c r="B23" s="46"/>
      <c r="C23" s="47"/>
      <c r="D23" s="30" t="s">
        <v>41</v>
      </c>
      <c r="E23" s="48">
        <f>MATERIALES!E28</f>
        <v>15181</v>
      </c>
      <c r="F23" s="32">
        <v>8.0000000000000002E-3</v>
      </c>
      <c r="G23" s="67">
        <f>+E23*F23</f>
        <v>121.44800000000001</v>
      </c>
      <c r="H23" s="21"/>
    </row>
    <row r="24" spans="1:8" ht="15" thickBot="1">
      <c r="A24" s="62"/>
      <c r="B24" s="68"/>
      <c r="C24" s="63"/>
      <c r="D24" s="38"/>
      <c r="E24" s="39"/>
      <c r="F24" s="40"/>
      <c r="G24" s="389"/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SUM(G20:G23)</f>
        <v>23777.92784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41" t="s">
        <v>295</v>
      </c>
      <c r="B27" s="343"/>
      <c r="C27" s="55" t="s">
        <v>296</v>
      </c>
      <c r="D27" s="343" t="s">
        <v>297</v>
      </c>
      <c r="E27" s="343" t="s">
        <v>298</v>
      </c>
      <c r="F27" s="343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41" t="s">
        <v>301</v>
      </c>
      <c r="B33" s="343"/>
      <c r="C33" s="343" t="s">
        <v>302</v>
      </c>
      <c r="D33" s="343" t="s">
        <v>303</v>
      </c>
      <c r="E33" s="85" t="s">
        <v>304</v>
      </c>
      <c r="F33" s="64" t="s">
        <v>286</v>
      </c>
      <c r="G33" s="342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6.3291091294704671E-2</v>
      </c>
      <c r="G34" s="67">
        <f>+E34*F34</f>
        <v>5802.3800000000228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4.9834384038510038E-2</v>
      </c>
      <c r="G35" s="67">
        <f>+E35*F35</f>
        <v>5882.7437907752983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11685.12379077532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36631.564009852853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54"/>
      <c r="C42" s="354"/>
      <c r="D42" s="354"/>
      <c r="E42" s="355"/>
      <c r="F42" s="355" t="s">
        <v>308</v>
      </c>
      <c r="G42" s="354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5494.7346014779278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1831.5782004926427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1831.5782004926427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9157.8910024632132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45789</v>
      </c>
    </row>
  </sheetData>
  <mergeCells count="1">
    <mergeCell ref="A3:C4"/>
  </mergeCell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1623</v>
      </c>
      <c r="H7" s="23"/>
    </row>
    <row r="8" spans="1:8">
      <c r="A8" s="22" t="s">
        <v>821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1494.9533075334066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1494.9533075334066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1012</v>
      </c>
      <c r="B20" s="46"/>
      <c r="C20" s="47"/>
      <c r="D20" s="100" t="s">
        <v>1</v>
      </c>
      <c r="E20" s="98">
        <f>+MATERIALES!E136</f>
        <v>36954</v>
      </c>
      <c r="F20" s="122">
        <v>1</v>
      </c>
      <c r="G20" s="96">
        <f>+E20*F20</f>
        <v>36954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1847.7</v>
      </c>
      <c r="F21" s="122">
        <v>1</v>
      </c>
      <c r="G21" s="485">
        <f>E21*F21</f>
        <v>1847.7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>
      <c r="A23" s="45" t="s">
        <v>992</v>
      </c>
      <c r="B23" s="46"/>
      <c r="C23" s="47"/>
      <c r="D23" s="35" t="s">
        <v>41</v>
      </c>
      <c r="E23" s="101">
        <f>MATERIALES!E45</f>
        <v>17453.73</v>
      </c>
      <c r="F23" s="32">
        <v>8.0000000000000002E-3</v>
      </c>
      <c r="G23" s="67">
        <f>+E23*F23</f>
        <v>139.62984</v>
      </c>
      <c r="H23" s="21"/>
    </row>
    <row r="24" spans="1:8" ht="15" thickBot="1">
      <c r="A24" s="62"/>
      <c r="B24" s="68"/>
      <c r="C24" s="63"/>
      <c r="D24" s="38"/>
      <c r="E24" s="39"/>
      <c r="F24" s="40"/>
      <c r="G24" s="389"/>
      <c r="H24" s="21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SUM(G20:G24)</f>
        <v>39062.777839999995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341" t="s">
        <v>295</v>
      </c>
      <c r="B27" s="343"/>
      <c r="C27" s="55" t="s">
        <v>296</v>
      </c>
      <c r="D27" s="343" t="s">
        <v>297</v>
      </c>
      <c r="E27" s="343" t="s">
        <v>298</v>
      </c>
      <c r="F27" s="343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341" t="s">
        <v>301</v>
      </c>
      <c r="B33" s="343"/>
      <c r="C33" s="343" t="s">
        <v>302</v>
      </c>
      <c r="D33" s="343" t="s">
        <v>303</v>
      </c>
      <c r="E33" s="85" t="s">
        <v>304</v>
      </c>
      <c r="F33" s="64" t="s">
        <v>286</v>
      </c>
      <c r="G33" s="342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8.0971731945853165E-2</v>
      </c>
      <c r="G34" s="67">
        <f>+E34*F34</f>
        <v>7423.300000000002</v>
      </c>
      <c r="H34" s="34"/>
    </row>
    <row r="35" spans="1:8">
      <c r="A35" s="45" t="s">
        <v>343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6.3756845917320407E-2</v>
      </c>
      <c r="G35" s="67">
        <f>+E35*F35</f>
        <v>7526.2330753340611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14949.533075334064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43" t="s">
        <v>306</v>
      </c>
      <c r="F40" s="69"/>
      <c r="G40" s="69"/>
      <c r="H40" s="44">
        <f>H17+H25+H31+H38</f>
        <v>55507.264222867467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192" t="s">
        <v>283</v>
      </c>
      <c r="B42" s="354"/>
      <c r="C42" s="354"/>
      <c r="D42" s="354"/>
      <c r="E42" s="355"/>
      <c r="F42" s="355" t="s">
        <v>308</v>
      </c>
      <c r="G42" s="354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+[1]SALARIOS!C56</f>
        <v>0.15</v>
      </c>
      <c r="G43" s="78">
        <f>++F43*H40</f>
        <v>8326.0896334301196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+[1]SALARIOS!C57</f>
        <v>0.05</v>
      </c>
      <c r="G44" s="78">
        <f>+F44*H40</f>
        <v>2775.3632111433735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+[1]SALARIOS!C58</f>
        <v>0.05</v>
      </c>
      <c r="G45" s="81">
        <f>+F45*H40</f>
        <v>2775.3632111433735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13876.816055716867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43" t="s">
        <v>313</v>
      </c>
      <c r="E48" s="69"/>
      <c r="F48" s="69"/>
      <c r="G48" s="69"/>
      <c r="H48" s="44">
        <f>ROUND((H40+H46),0)</f>
        <v>69384</v>
      </c>
    </row>
  </sheetData>
  <mergeCells count="1">
    <mergeCell ref="A3:C4"/>
  </mergeCell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1624</v>
      </c>
      <c r="H7" s="23"/>
    </row>
    <row r="8" spans="1:8">
      <c r="A8" s="22" t="s">
        <v>822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2221.7188521697149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2221.7188521697149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608" t="s">
        <v>283</v>
      </c>
      <c r="B19" s="609"/>
      <c r="C19" s="610"/>
      <c r="D19" s="610" t="s">
        <v>291</v>
      </c>
      <c r="E19" s="610" t="s">
        <v>292</v>
      </c>
      <c r="F19" s="610" t="s">
        <v>293</v>
      </c>
      <c r="G19" s="388" t="s">
        <v>287</v>
      </c>
      <c r="H19" s="484"/>
    </row>
    <row r="20" spans="1:8">
      <c r="A20" s="45" t="s">
        <v>1014</v>
      </c>
      <c r="B20" s="46"/>
      <c r="C20" s="47"/>
      <c r="D20" s="100" t="s">
        <v>1</v>
      </c>
      <c r="E20" s="98">
        <f>+MATERIALES!E137</f>
        <v>80688</v>
      </c>
      <c r="F20" s="122">
        <v>1</v>
      </c>
      <c r="G20" s="485">
        <f>+E20*F20</f>
        <v>80688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4034.4</v>
      </c>
      <c r="F21" s="122">
        <v>1</v>
      </c>
      <c r="G21" s="485">
        <f>E21*F21</f>
        <v>4034.4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387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84983.477839999992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9.4339654078722468E-2</v>
      </c>
      <c r="G33" s="67">
        <f>+E33*F33</f>
        <v>8648.8400000000984</v>
      </c>
      <c r="H33" s="34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7.6627541506385732E-2</v>
      </c>
      <c r="G34" s="67">
        <f>+E34*F34</f>
        <v>13568.348521697048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22217.188521697146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109422.38521386684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16413.357782080027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5471.1192606933428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5471.1192606933428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27355.596303466715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136778</v>
      </c>
    </row>
  </sheetData>
  <mergeCells count="1">
    <mergeCell ref="A3:C4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topLeftCell="A13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1625</v>
      </c>
      <c r="H7" s="23"/>
    </row>
    <row r="8" spans="1:8">
      <c r="A8" s="22" t="s">
        <v>823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2943.7848769763968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2943.7848769763968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1015</v>
      </c>
      <c r="B20" s="46"/>
      <c r="C20" s="47"/>
      <c r="D20" s="100" t="s">
        <v>1</v>
      </c>
      <c r="E20" s="98">
        <f>+MATERIALES!E138</f>
        <v>136676</v>
      </c>
      <c r="F20" s="122">
        <v>1</v>
      </c>
      <c r="G20" s="96">
        <f>+E20*F20</f>
        <v>136676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6833.8</v>
      </c>
      <c r="F21" s="122">
        <v>1</v>
      </c>
      <c r="G21" s="485">
        <f>E21*F21</f>
        <v>6833.8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143770.87784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0.11</v>
      </c>
      <c r="G33" s="67">
        <f>+E33*F33</f>
        <v>10084.544079482534</v>
      </c>
      <c r="H33" s="34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0.10929820648908169</v>
      </c>
      <c r="G34" s="67">
        <f>+E34*F34</f>
        <v>19353.304690281435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29437.848769763968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176152.51148674038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26422.876723011057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8807.6255743370184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8807.6255743370184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44038.127871685094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220191</v>
      </c>
    </row>
  </sheetData>
  <mergeCells count="1">
    <mergeCell ref="A3:C4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topLeftCell="A10" workbookViewId="0">
      <selection activeCell="E20" sqref="E20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1626</v>
      </c>
      <c r="H7" s="23"/>
    </row>
    <row r="8" spans="1:8">
      <c r="A8" s="22" t="s">
        <v>824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+H37*10%</f>
        <v>3695.3743603304665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3695.3743603304665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1016</v>
      </c>
      <c r="B20" s="46"/>
      <c r="C20" s="47"/>
      <c r="D20" s="100" t="s">
        <v>1</v>
      </c>
      <c r="E20" s="98">
        <f>+MATERIALES!E139</f>
        <v>215155</v>
      </c>
      <c r="F20" s="122">
        <v>1</v>
      </c>
      <c r="G20" s="96">
        <f>+E20*F20</f>
        <v>215155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10757.75</v>
      </c>
      <c r="F21" s="122">
        <v>1</v>
      </c>
      <c r="G21" s="485">
        <f>E21*F21</f>
        <v>10757.75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226173.82784000001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0.12903228839540892</v>
      </c>
      <c r="G33" s="67">
        <f>+E33*F33</f>
        <v>11829.380000000036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0.10641778981549317</v>
      </c>
      <c r="G34" s="67">
        <f>+E34*F34</f>
        <v>25124.363603304624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36953.743603304662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266822.94580363511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40023.441870545263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13341.147290181756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13341.147290181756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66705.736450908778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333529</v>
      </c>
    </row>
  </sheetData>
  <mergeCells count="1">
    <mergeCell ref="A3:C4"/>
  </mergeCell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J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1627</v>
      </c>
      <c r="H7" s="23"/>
    </row>
    <row r="8" spans="1:8">
      <c r="A8" s="22" t="s">
        <v>825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5114.0283025426579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10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5114.0283025426579</v>
      </c>
    </row>
    <row r="18" spans="1:10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10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10">
      <c r="A20" s="86" t="s">
        <v>1017</v>
      </c>
      <c r="B20" s="46"/>
      <c r="C20" s="47"/>
      <c r="D20" s="100" t="s">
        <v>1</v>
      </c>
      <c r="E20" s="98">
        <f>+MATERIALES!E140</f>
        <v>301043</v>
      </c>
      <c r="F20" s="122">
        <v>1</v>
      </c>
      <c r="G20" s="96">
        <f>+E20*F20</f>
        <v>301043</v>
      </c>
      <c r="H20" s="21"/>
    </row>
    <row r="21" spans="1:10">
      <c r="A21" s="45" t="s">
        <v>1009</v>
      </c>
      <c r="B21" s="46"/>
      <c r="C21" s="47"/>
      <c r="D21" s="100" t="s">
        <v>1013</v>
      </c>
      <c r="E21" s="98">
        <f>G20*5%</f>
        <v>15052.150000000001</v>
      </c>
      <c r="F21" s="122">
        <v>1</v>
      </c>
      <c r="G21" s="485">
        <f>E21*F21</f>
        <v>15052.150000000001</v>
      </c>
      <c r="H21" s="21"/>
    </row>
    <row r="22" spans="1:10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10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10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316356.22784000001</v>
      </c>
      <c r="J24" s="148"/>
    </row>
    <row r="25" spans="1:10" ht="15" thickBot="1">
      <c r="A25" s="54" t="s">
        <v>294</v>
      </c>
      <c r="B25" s="54"/>
      <c r="C25" s="52"/>
      <c r="D25" s="23"/>
      <c r="E25" s="23"/>
      <c r="F25" s="23"/>
      <c r="G25" s="23"/>
      <c r="H25" s="23"/>
      <c r="J25" s="148"/>
    </row>
    <row r="26" spans="1:10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10">
      <c r="A27" s="45"/>
      <c r="B27" s="46"/>
      <c r="C27" s="57"/>
      <c r="D27" s="58"/>
      <c r="E27" s="58"/>
      <c r="F27" s="59"/>
      <c r="G27" s="59"/>
      <c r="H27" s="34"/>
    </row>
    <row r="28" spans="1:10">
      <c r="A28" s="45"/>
      <c r="B28" s="46"/>
      <c r="C28" s="60"/>
      <c r="D28" s="30"/>
      <c r="E28" s="58"/>
      <c r="F28" s="59"/>
      <c r="G28" s="59"/>
      <c r="H28" s="34"/>
    </row>
    <row r="29" spans="1:10" ht="15" thickBot="1">
      <c r="A29" s="62"/>
      <c r="B29" s="63"/>
      <c r="C29" s="38"/>
      <c r="D29" s="38"/>
      <c r="E29" s="170"/>
      <c r="F29" s="171"/>
      <c r="G29" s="38"/>
      <c r="H29" s="34"/>
    </row>
    <row r="30" spans="1:10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10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10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0.16</v>
      </c>
      <c r="G33" s="67">
        <f>+E33*F33</f>
        <v>14668.427751974594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0.15448169314667917</v>
      </c>
      <c r="G34" s="67">
        <f>+E34*F34</f>
        <v>36471.855273451984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51140.283025426579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372610.5391679692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55891.580875195381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18630.526958398459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18630.526958398459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93152.634791992299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465763</v>
      </c>
    </row>
  </sheetData>
  <mergeCells count="1">
    <mergeCell ref="A3:C4"/>
  </mergeCell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1628</v>
      </c>
      <c r="H7" s="23"/>
    </row>
    <row r="8" spans="1:8">
      <c r="A8" s="22" t="s">
        <v>826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5403.5884489825175</v>
      </c>
      <c r="H12" s="34"/>
    </row>
    <row r="13" spans="1:8">
      <c r="A13" s="347"/>
      <c r="B13" s="348"/>
      <c r="C13" s="349"/>
      <c r="D13" s="35"/>
      <c r="E13" s="36"/>
      <c r="F13" s="31"/>
      <c r="G13" s="33"/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5403.5884489825175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1018</v>
      </c>
      <c r="B20" s="46"/>
      <c r="C20" s="47"/>
      <c r="D20" s="100" t="s">
        <v>1</v>
      </c>
      <c r="E20" s="98">
        <f>+MATERIALES!E141</f>
        <v>373331</v>
      </c>
      <c r="F20" s="122">
        <v>1</v>
      </c>
      <c r="G20" s="96">
        <f>+E20*F20</f>
        <v>373331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18666.55</v>
      </c>
      <c r="F21" s="122">
        <v>1</v>
      </c>
      <c r="G21" s="485">
        <f>E21*F21</f>
        <v>18666.55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392258.62783999997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0.17</v>
      </c>
      <c r="G33" s="67">
        <f>+E33*F33</f>
        <v>15585.204486473007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0.16286328471704314</v>
      </c>
      <c r="G34" s="67">
        <f>+E34*F34</f>
        <v>38450.680003352165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54035.88448982517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451698.10077880765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67754.715116821142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22584.905038940386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22584.905038940386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112924.52519470191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564623</v>
      </c>
    </row>
  </sheetData>
  <mergeCells count="1">
    <mergeCell ref="A3:C4"/>
  </mergeCell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topLeftCell="A13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1629</v>
      </c>
      <c r="H7" s="23"/>
    </row>
    <row r="8" spans="1:8">
      <c r="A8" s="22" t="s">
        <v>827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4083.6767447199782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30681.377894145284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1019</v>
      </c>
      <c r="B20" s="46"/>
      <c r="C20" s="47"/>
      <c r="D20" s="100" t="s">
        <v>1</v>
      </c>
      <c r="E20" s="98">
        <f>+MATERIALES!E142</f>
        <v>490002</v>
      </c>
      <c r="F20" s="122">
        <v>1</v>
      </c>
      <c r="G20" s="96">
        <f>+E20*F20</f>
        <v>490002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24500.100000000002</v>
      </c>
      <c r="F21" s="122">
        <v>1</v>
      </c>
      <c r="G21" s="485">
        <f>E21*F21</f>
        <v>24500.100000000002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514763.17783999996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0.15625003843315577</v>
      </c>
      <c r="G33" s="67">
        <f>+E33*F33</f>
        <v>14324.639999999994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0.11229585954036181</v>
      </c>
      <c r="G34" s="67">
        <f>+E34*F34</f>
        <v>26512.127447199789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40836.767447199782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586281.32318134501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87942.198477201746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29314.066159067253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29314.066159067253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146570.33079533625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732852</v>
      </c>
    </row>
  </sheetData>
  <mergeCells count="1">
    <mergeCell ref="A3:C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380</v>
      </c>
      <c r="B7" s="24"/>
      <c r="C7" s="23"/>
      <c r="D7" s="2"/>
      <c r="E7" s="24"/>
      <c r="F7" s="2"/>
      <c r="G7" s="24" t="s">
        <v>378</v>
      </c>
      <c r="H7" s="23"/>
    </row>
    <row r="8" spans="1:8">
      <c r="A8" s="22" t="s">
        <v>361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5087.5860556474654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5087.5860556474654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C34*D34</f>
        <v>177068.82218799012</v>
      </c>
      <c r="F34" s="59">
        <v>0.28732252198786778</v>
      </c>
      <c r="G34" s="67">
        <f>E34*F34</f>
        <v>50875.860556474647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50875.860556474647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55963.446612122112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8394.5169918183165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2798.1723306061058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2798.1723306061058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13990.86165303053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69954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1630</v>
      </c>
      <c r="H7" s="23"/>
    </row>
    <row r="8" spans="1:8">
      <c r="A8" s="22" t="s">
        <v>828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4815.9597058104746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31413.660855235779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1020</v>
      </c>
      <c r="B20" s="46"/>
      <c r="C20" s="47"/>
      <c r="D20" s="100" t="s">
        <v>1</v>
      </c>
      <c r="E20" s="98">
        <f>+MATERIALES!E143</f>
        <v>628909</v>
      </c>
      <c r="F20" s="122">
        <v>1</v>
      </c>
      <c r="G20" s="96">
        <f>+E20*F20</f>
        <v>628909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31445.45</v>
      </c>
      <c r="F21" s="122">
        <v>1</v>
      </c>
      <c r="G21" s="485">
        <f>E21*F21</f>
        <v>31445.45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660615.52783999988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0.1818182047248369</v>
      </c>
      <c r="G33" s="67">
        <f>+E33*F33</f>
        <v>16668.669999999973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0.13338426834117442</v>
      </c>
      <c r="G34" s="67">
        <f>+E34*F34</f>
        <v>31490.927058104768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48159.597058104744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740188.78575334034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111028.31786300105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37009.439287667017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37009.439287667017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185047.19643833509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925236</v>
      </c>
    </row>
  </sheetData>
  <mergeCells count="1">
    <mergeCell ref="A3:C4"/>
  </mergeCell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H47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338" t="s">
        <v>318</v>
      </c>
      <c r="B5" s="339"/>
      <c r="C5" s="340"/>
      <c r="D5" s="344"/>
      <c r="E5" s="345"/>
      <c r="F5" s="345"/>
      <c r="G5" s="345"/>
      <c r="H5" s="346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1007</v>
      </c>
      <c r="B7" s="24"/>
      <c r="C7" s="23"/>
      <c r="D7" s="2"/>
      <c r="E7" s="24"/>
      <c r="F7" s="2"/>
      <c r="G7" s="24" t="s">
        <v>1631</v>
      </c>
      <c r="H7" s="23"/>
    </row>
    <row r="8" spans="1:8">
      <c r="A8" s="22" t="s">
        <v>829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341" t="s">
        <v>283</v>
      </c>
      <c r="B11" s="342"/>
      <c r="C11" s="343"/>
      <c r="D11" s="343" t="s">
        <v>284</v>
      </c>
      <c r="E11" s="27" t="s">
        <v>285</v>
      </c>
      <c r="F11" s="343" t="s">
        <v>286</v>
      </c>
      <c r="G11" s="342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5973.1427626201094</v>
      </c>
      <c r="H12" s="34"/>
    </row>
    <row r="13" spans="1:8">
      <c r="A13" s="541" t="s">
        <v>1382</v>
      </c>
      <c r="B13" s="135"/>
      <c r="C13" s="133"/>
      <c r="D13" s="133" t="s">
        <v>5</v>
      </c>
      <c r="E13" s="132">
        <f>'EQUIPOS '!D14</f>
        <v>115700</v>
      </c>
      <c r="F13" s="31">
        <v>0.22988505747126453</v>
      </c>
      <c r="G13" s="132">
        <f>E13*F13</f>
        <v>26597.701149425306</v>
      </c>
      <c r="H13" s="34"/>
    </row>
    <row r="14" spans="1:8">
      <c r="A14" s="347"/>
      <c r="B14" s="348"/>
      <c r="C14" s="349"/>
      <c r="D14" s="35"/>
      <c r="E14" s="36"/>
      <c r="F14" s="31"/>
      <c r="G14" s="33"/>
      <c r="H14" s="34"/>
    </row>
    <row r="15" spans="1:8">
      <c r="A15" s="347"/>
      <c r="B15" s="348"/>
      <c r="C15" s="349"/>
      <c r="D15" s="35"/>
      <c r="E15" s="36"/>
      <c r="F15" s="31"/>
      <c r="G15" s="33"/>
      <c r="H15" s="34"/>
    </row>
    <row r="16" spans="1:8" ht="15" thickBot="1">
      <c r="A16" s="350"/>
      <c r="B16" s="351"/>
      <c r="C16" s="352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32570.843912045413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353" t="s">
        <v>283</v>
      </c>
      <c r="B19" s="354"/>
      <c r="C19" s="355"/>
      <c r="D19" s="355" t="s">
        <v>291</v>
      </c>
      <c r="E19" s="355" t="s">
        <v>292</v>
      </c>
      <c r="F19" s="355" t="s">
        <v>293</v>
      </c>
      <c r="G19" s="354" t="s">
        <v>287</v>
      </c>
      <c r="H19" s="29"/>
    </row>
    <row r="20" spans="1:8">
      <c r="A20" s="86" t="s">
        <v>1021</v>
      </c>
      <c r="B20" s="46"/>
      <c r="C20" s="47"/>
      <c r="D20" s="100" t="s">
        <v>1</v>
      </c>
      <c r="E20" s="98">
        <f>+MATERIALES!E144</f>
        <v>783442</v>
      </c>
      <c r="F20" s="122">
        <v>1</v>
      </c>
      <c r="G20" s="96">
        <f>+E20*F20</f>
        <v>783442</v>
      </c>
      <c r="H20" s="21"/>
    </row>
    <row r="21" spans="1:8">
      <c r="A21" s="45" t="s">
        <v>1009</v>
      </c>
      <c r="B21" s="46"/>
      <c r="C21" s="47"/>
      <c r="D21" s="100" t="s">
        <v>1013</v>
      </c>
      <c r="E21" s="98">
        <f>G20*5%</f>
        <v>39172.1</v>
      </c>
      <c r="F21" s="122">
        <v>1</v>
      </c>
      <c r="G21" s="485">
        <f>E21*F21</f>
        <v>39172.1</v>
      </c>
      <c r="H21" s="21"/>
    </row>
    <row r="22" spans="1:8">
      <c r="A22" s="45" t="s">
        <v>808</v>
      </c>
      <c r="B22" s="46"/>
      <c r="C22" s="47"/>
      <c r="D22" s="30" t="s">
        <v>41</v>
      </c>
      <c r="E22" s="48">
        <f>MATERIALES!E28</f>
        <v>15181</v>
      </c>
      <c r="F22" s="32">
        <v>8.0000000000000002E-3</v>
      </c>
      <c r="G22" s="67">
        <f>+E22*F22</f>
        <v>121.44800000000001</v>
      </c>
      <c r="H22" s="21"/>
    </row>
    <row r="23" spans="1:8" ht="15" thickBot="1">
      <c r="A23" s="62" t="s">
        <v>992</v>
      </c>
      <c r="B23" s="68"/>
      <c r="C23" s="63"/>
      <c r="D23" s="38" t="s">
        <v>41</v>
      </c>
      <c r="E23" s="611">
        <f>MATERIALES!E45</f>
        <v>17453.73</v>
      </c>
      <c r="F23" s="415">
        <v>8.0000000000000002E-3</v>
      </c>
      <c r="G23" s="389">
        <f>+E23*F23</f>
        <v>139.62984</v>
      </c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822875.1778399999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341" t="s">
        <v>295</v>
      </c>
      <c r="B26" s="343"/>
      <c r="C26" s="55" t="s">
        <v>296</v>
      </c>
      <c r="D26" s="343" t="s">
        <v>297</v>
      </c>
      <c r="E26" s="343" t="s">
        <v>298</v>
      </c>
      <c r="F26" s="343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341" t="s">
        <v>301</v>
      </c>
      <c r="B32" s="343"/>
      <c r="C32" s="343" t="s">
        <v>302</v>
      </c>
      <c r="D32" s="343" t="s">
        <v>303</v>
      </c>
      <c r="E32" s="85" t="s">
        <v>304</v>
      </c>
      <c r="F32" s="64" t="s">
        <v>286</v>
      </c>
      <c r="G32" s="342" t="s">
        <v>287</v>
      </c>
      <c r="H32" s="29"/>
    </row>
    <row r="33" spans="1:8">
      <c r="A33" s="45" t="s">
        <v>403</v>
      </c>
      <c r="B33" s="46"/>
      <c r="C33" s="65">
        <f>+SALARIOS!C49</f>
        <v>53170.636666666665</v>
      </c>
      <c r="D33" s="66">
        <f>+SALARIOS!D49</f>
        <v>1.724216206485921</v>
      </c>
      <c r="E33" s="31">
        <f>+C33*D33</f>
        <v>91677.673449841212</v>
      </c>
      <c r="F33" s="31">
        <v>0.22222226233900244</v>
      </c>
      <c r="G33" s="67">
        <f>+E33*F33</f>
        <v>20372.820000000014</v>
      </c>
      <c r="H33" s="34"/>
    </row>
    <row r="34" spans="1:8">
      <c r="A34" s="45" t="s">
        <v>408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0.16670894037071737</v>
      </c>
      <c r="G34" s="67">
        <f>+E34*F34</f>
        <v>39358.607626201076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59731.42762620109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43" t="s">
        <v>306</v>
      </c>
      <c r="F39" s="69"/>
      <c r="G39" s="69"/>
      <c r="H39" s="44">
        <f>H17+H24+H30+H37</f>
        <v>915177.44937824633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192" t="s">
        <v>283</v>
      </c>
      <c r="B41" s="354"/>
      <c r="C41" s="354"/>
      <c r="D41" s="354"/>
      <c r="E41" s="355"/>
      <c r="F41" s="355" t="s">
        <v>308</v>
      </c>
      <c r="G41" s="354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+[1]SALARIOS!C56</f>
        <v>0.15</v>
      </c>
      <c r="G42" s="78">
        <f>++F42*H39</f>
        <v>137276.61740673694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+[1]SALARIOS!C57</f>
        <v>0.05</v>
      </c>
      <c r="G43" s="78">
        <f>+F43*H39</f>
        <v>45758.872468912319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+[1]SALARIOS!C58</f>
        <v>0.05</v>
      </c>
      <c r="G44" s="81">
        <f>+F44*H39</f>
        <v>45758.872468912319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228794.36234456161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43" t="s">
        <v>313</v>
      </c>
      <c r="E47" s="69"/>
      <c r="F47" s="69"/>
      <c r="G47" s="69"/>
      <c r="H47" s="44">
        <f>ROUND((H39+H45),0)</f>
        <v>1143972</v>
      </c>
    </row>
  </sheetData>
  <mergeCells count="1">
    <mergeCell ref="A3:C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8"/>
  <sheetViews>
    <sheetView workbookViewId="0">
      <selection activeCell="L21" sqref="L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380</v>
      </c>
      <c r="B7" s="24"/>
      <c r="C7" s="23"/>
      <c r="D7" s="2"/>
      <c r="E7" s="24"/>
      <c r="F7" s="2"/>
      <c r="G7" s="24" t="s">
        <v>379</v>
      </c>
      <c r="H7" s="23"/>
    </row>
    <row r="8" spans="1:8">
      <c r="A8" s="22" t="s">
        <v>362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H38*10%</f>
        <v>6105.0634613925577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6105.0634613925577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 t="s">
        <v>351</v>
      </c>
      <c r="B34" s="46"/>
      <c r="C34" s="65">
        <f>+SALARIOS!C48*3</f>
        <v>98065.7</v>
      </c>
      <c r="D34" s="66">
        <f>+SALARIOS!D48</f>
        <v>1.8056142176927319</v>
      </c>
      <c r="E34" s="31">
        <f>C34*D34</f>
        <v>177068.82218799012</v>
      </c>
      <c r="F34" s="59">
        <v>0.34478477836775484</v>
      </c>
      <c r="G34" s="67">
        <f>E34*F34</f>
        <v>61050.634613925569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61050.634613925569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67155.698075318127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10073.354711297719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3357.7849037659066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3357.7849037659066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16788.924518829532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83945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46"/>
  <sheetViews>
    <sheetView zoomScaleNormal="100" workbookViewId="0">
      <selection activeCell="C32" sqref="C32"/>
    </sheetView>
  </sheetViews>
  <sheetFormatPr baseColWidth="10" defaultRowHeight="14.4"/>
  <sheetData>
    <row r="1" spans="1:8">
      <c r="A1" s="1197" t="s">
        <v>317</v>
      </c>
      <c r="B1" s="1198"/>
      <c r="C1" s="1199"/>
      <c r="D1" s="17"/>
      <c r="E1" s="18"/>
      <c r="F1" s="17"/>
      <c r="G1" s="17"/>
      <c r="H1" s="19"/>
    </row>
    <row r="2" spans="1:8">
      <c r="A2" s="1200"/>
      <c r="B2" s="1201"/>
      <c r="C2" s="1202"/>
      <c r="D2" s="20"/>
      <c r="E2" s="13" t="s">
        <v>281</v>
      </c>
      <c r="F2" s="20"/>
      <c r="G2" s="20"/>
      <c r="H2" s="21"/>
    </row>
    <row r="3" spans="1:8" ht="15" thickBot="1">
      <c r="A3" s="1203" t="s">
        <v>318</v>
      </c>
      <c r="B3" s="1204"/>
      <c r="C3" s="1205"/>
      <c r="D3" s="1182"/>
      <c r="E3" s="1183"/>
      <c r="F3" s="1183"/>
      <c r="G3" s="1183"/>
      <c r="H3" s="1184"/>
    </row>
    <row r="4" spans="1:8">
      <c r="A4" s="22"/>
      <c r="B4" s="23"/>
      <c r="C4" s="23"/>
      <c r="D4" s="23"/>
      <c r="E4" s="23"/>
      <c r="F4" s="23"/>
      <c r="G4" s="23"/>
      <c r="H4" s="23"/>
    </row>
    <row r="5" spans="1:8">
      <c r="A5" s="22" t="s">
        <v>380</v>
      </c>
      <c r="B5" s="24"/>
      <c r="C5" s="23"/>
      <c r="D5" s="2"/>
      <c r="E5" s="24"/>
      <c r="F5" s="2"/>
      <c r="G5" s="24" t="s">
        <v>381</v>
      </c>
      <c r="H5" s="23"/>
    </row>
    <row r="6" spans="1:8">
      <c r="A6" s="22" t="s">
        <v>364</v>
      </c>
      <c r="B6" s="24"/>
      <c r="C6" s="23"/>
      <c r="D6" s="24"/>
      <c r="E6" s="24"/>
      <c r="F6" s="24"/>
      <c r="G6" s="24" t="s">
        <v>1293</v>
      </c>
      <c r="H6" s="23"/>
    </row>
    <row r="7" spans="1:8">
      <c r="A7" s="24"/>
      <c r="B7" s="24"/>
      <c r="C7" s="23"/>
      <c r="D7" s="24"/>
      <c r="E7" s="24"/>
      <c r="F7" s="24"/>
      <c r="G7" s="24"/>
      <c r="H7" s="23"/>
    </row>
    <row r="8" spans="1:8" ht="15" thickBot="1">
      <c r="A8" s="25" t="s">
        <v>282</v>
      </c>
      <c r="B8" s="25"/>
      <c r="C8" s="23"/>
      <c r="D8" s="23"/>
      <c r="E8" s="23"/>
      <c r="F8" s="23"/>
      <c r="G8" s="23"/>
      <c r="H8" s="23"/>
    </row>
    <row r="9" spans="1:8">
      <c r="A9" s="1185" t="s">
        <v>283</v>
      </c>
      <c r="B9" s="1186"/>
      <c r="C9" s="1187"/>
      <c r="D9" s="137" t="s">
        <v>284</v>
      </c>
      <c r="E9" s="27" t="s">
        <v>285</v>
      </c>
      <c r="F9" s="137" t="s">
        <v>286</v>
      </c>
      <c r="G9" s="136" t="s">
        <v>287</v>
      </c>
      <c r="H9" s="29"/>
    </row>
    <row r="10" spans="1:8">
      <c r="A10" s="1217" t="s">
        <v>889</v>
      </c>
      <c r="B10" s="1218"/>
      <c r="C10" s="1219"/>
      <c r="D10" s="30"/>
      <c r="E10" s="48"/>
      <c r="F10" s="120"/>
      <c r="G10" s="33">
        <f>H36*10%</f>
        <v>7683.013695192054</v>
      </c>
      <c r="H10" s="34"/>
    </row>
    <row r="11" spans="1:8">
      <c r="A11" s="134" t="s">
        <v>43</v>
      </c>
      <c r="B11" s="135"/>
      <c r="C11" s="133"/>
      <c r="D11" s="133" t="s">
        <v>7</v>
      </c>
      <c r="E11" s="132">
        <f>+'EQUIPOS '!D6</f>
        <v>84117</v>
      </c>
      <c r="F11" s="488">
        <v>5.8822830105686563E-2</v>
      </c>
      <c r="G11" s="132">
        <f>+E11*F11</f>
        <v>4948.0000000000364</v>
      </c>
      <c r="H11" s="34"/>
    </row>
    <row r="12" spans="1:8">
      <c r="A12" s="1220"/>
      <c r="B12" s="1221"/>
      <c r="C12" s="1222"/>
      <c r="D12" s="35"/>
      <c r="E12" s="36"/>
      <c r="F12" s="31"/>
      <c r="G12" s="33"/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 ht="15" thickBot="1">
      <c r="A15" s="1194"/>
      <c r="B15" s="1195"/>
      <c r="C15" s="1196"/>
      <c r="D15" s="38"/>
      <c r="E15" s="39"/>
      <c r="F15" s="40"/>
      <c r="G15" s="41"/>
      <c r="H15" s="42"/>
    </row>
    <row r="16" spans="1:8" ht="15" thickBot="1">
      <c r="A16" s="23"/>
      <c r="B16" s="23"/>
      <c r="C16" s="23"/>
      <c r="D16" s="23"/>
      <c r="E16" s="23"/>
      <c r="F16" s="23"/>
      <c r="G16" s="43" t="s">
        <v>289</v>
      </c>
      <c r="H16" s="44">
        <f>SUM(G10:G15)</f>
        <v>12631.01369519209</v>
      </c>
    </row>
    <row r="17" spans="1:8" ht="15" thickBot="1">
      <c r="A17" s="25" t="s">
        <v>290</v>
      </c>
      <c r="B17" s="25"/>
      <c r="C17" s="23"/>
      <c r="D17" s="23"/>
      <c r="E17" s="23"/>
      <c r="F17" s="23"/>
      <c r="G17" s="23"/>
      <c r="H17" s="23"/>
    </row>
    <row r="18" spans="1:8">
      <c r="A18" s="1209" t="s">
        <v>283</v>
      </c>
      <c r="B18" s="1210"/>
      <c r="C18" s="1211"/>
      <c r="D18" s="139" t="s">
        <v>291</v>
      </c>
      <c r="E18" s="139" t="s">
        <v>292</v>
      </c>
      <c r="F18" s="139" t="s">
        <v>293</v>
      </c>
      <c r="G18" s="138" t="s">
        <v>287</v>
      </c>
      <c r="H18" s="29"/>
    </row>
    <row r="19" spans="1:8">
      <c r="A19" s="86"/>
      <c r="B19" s="46"/>
      <c r="C19" s="47"/>
      <c r="D19" s="100"/>
      <c r="E19" s="98"/>
      <c r="F19" s="122"/>
      <c r="G19" s="96"/>
      <c r="H19" s="21"/>
    </row>
    <row r="20" spans="1:8">
      <c r="A20" s="86"/>
      <c r="B20" s="46"/>
      <c r="C20" s="47"/>
      <c r="D20" s="30"/>
      <c r="E20" s="101"/>
      <c r="F20" s="32"/>
      <c r="G20" s="31"/>
      <c r="H20" s="21"/>
    </row>
    <row r="21" spans="1:8">
      <c r="A21" s="87"/>
      <c r="B21" s="88"/>
      <c r="C21" s="89"/>
      <c r="D21" s="90"/>
      <c r="E21" s="91"/>
      <c r="F21" s="92"/>
      <c r="G21" s="97"/>
      <c r="H21" s="21"/>
    </row>
    <row r="22" spans="1:8" ht="15" thickBot="1">
      <c r="A22" s="51"/>
      <c r="B22" s="52"/>
      <c r="C22" s="53"/>
      <c r="D22" s="38"/>
      <c r="E22" s="39"/>
      <c r="F22" s="40"/>
      <c r="G22" s="41"/>
      <c r="H22" s="42"/>
    </row>
    <row r="23" spans="1:8" ht="15" thickBot="1">
      <c r="A23" s="23"/>
      <c r="B23" s="23"/>
      <c r="C23" s="23"/>
      <c r="D23" s="23"/>
      <c r="E23" s="23"/>
      <c r="F23" s="23"/>
      <c r="G23" s="43" t="s">
        <v>289</v>
      </c>
      <c r="H23" s="44">
        <f>SUM(G19:G22)</f>
        <v>0</v>
      </c>
    </row>
    <row r="24" spans="1:8" ht="15" thickBot="1">
      <c r="A24" s="54" t="s">
        <v>294</v>
      </c>
      <c r="B24" s="54"/>
      <c r="C24" s="52"/>
      <c r="D24" s="23"/>
      <c r="E24" s="23"/>
      <c r="F24" s="23"/>
      <c r="G24" s="23"/>
      <c r="H24" s="23"/>
    </row>
    <row r="25" spans="1:8">
      <c r="A25" s="1185" t="s">
        <v>295</v>
      </c>
      <c r="B25" s="1187"/>
      <c r="C25" s="55" t="s">
        <v>296</v>
      </c>
      <c r="D25" s="137" t="s">
        <v>297</v>
      </c>
      <c r="E25" s="137" t="s">
        <v>298</v>
      </c>
      <c r="F25" s="137" t="s">
        <v>299</v>
      </c>
      <c r="G25" s="56" t="s">
        <v>287</v>
      </c>
      <c r="H25" s="29"/>
    </row>
    <row r="26" spans="1:8">
      <c r="A26" s="45"/>
      <c r="B26" s="46"/>
      <c r="C26" s="57"/>
      <c r="D26" s="58"/>
      <c r="E26" s="58"/>
      <c r="F26" s="59"/>
      <c r="G26" s="31"/>
      <c r="H26" s="34"/>
    </row>
    <row r="27" spans="1:8">
      <c r="A27" s="45"/>
      <c r="B27" s="46"/>
      <c r="C27" s="60"/>
      <c r="D27" s="30"/>
      <c r="E27" s="61"/>
      <c r="F27" s="31"/>
      <c r="G27" s="31"/>
      <c r="H27" s="34"/>
    </row>
    <row r="28" spans="1:8" ht="15" thickBot="1">
      <c r="A28" s="62"/>
      <c r="B28" s="63"/>
      <c r="C28" s="38"/>
      <c r="D28" s="39"/>
      <c r="E28" s="40"/>
      <c r="F28" s="41"/>
      <c r="G28" s="38"/>
      <c r="H28" s="34"/>
    </row>
    <row r="29" spans="1:8" ht="15" thickBot="1">
      <c r="A29" s="23"/>
      <c r="B29" s="23"/>
      <c r="C29" s="23"/>
      <c r="D29" s="23"/>
      <c r="E29" s="23"/>
      <c r="F29" s="23"/>
      <c r="G29" s="43" t="s">
        <v>289</v>
      </c>
      <c r="H29" s="44">
        <f>SUM(G26:G28)</f>
        <v>0</v>
      </c>
    </row>
    <row r="30" spans="1:8" ht="15" thickBot="1">
      <c r="A30" s="54" t="s">
        <v>300</v>
      </c>
      <c r="B30" s="54"/>
      <c r="C30" s="23"/>
      <c r="D30" s="23"/>
      <c r="E30" s="23"/>
      <c r="F30" s="23"/>
      <c r="G30" s="23"/>
      <c r="H30" s="23"/>
    </row>
    <row r="31" spans="1:8">
      <c r="A31" s="1185" t="s">
        <v>301</v>
      </c>
      <c r="B31" s="1187"/>
      <c r="C31" s="137" t="s">
        <v>302</v>
      </c>
      <c r="D31" s="137" t="s">
        <v>303</v>
      </c>
      <c r="E31" s="85" t="s">
        <v>304</v>
      </c>
      <c r="F31" s="64" t="s">
        <v>286</v>
      </c>
      <c r="G31" s="136" t="s">
        <v>287</v>
      </c>
      <c r="H31" s="29"/>
    </row>
    <row r="32" spans="1:8">
      <c r="A32" s="45" t="s">
        <v>351</v>
      </c>
      <c r="B32" s="46"/>
      <c r="C32" s="65">
        <f>+SALARIOS!C48*3</f>
        <v>98065.7</v>
      </c>
      <c r="D32" s="66">
        <f>+SALARIOS!D48</f>
        <v>1.8056142176927319</v>
      </c>
      <c r="E32" s="31">
        <f>C32*D32</f>
        <v>177068.82218799012</v>
      </c>
      <c r="F32" s="59">
        <v>0.43389985883766508</v>
      </c>
      <c r="G32" s="67">
        <f>E32*F32</f>
        <v>76830.136951920533</v>
      </c>
      <c r="H32" s="34"/>
    </row>
    <row r="33" spans="1:8">
      <c r="A33" s="45"/>
      <c r="B33" s="46"/>
      <c r="C33" s="65"/>
      <c r="D33" s="66"/>
      <c r="E33" s="31"/>
      <c r="F33" s="31"/>
      <c r="G33" s="67"/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 ht="15" thickBot="1">
      <c r="A35" s="62"/>
      <c r="B35" s="68"/>
      <c r="C35" s="39"/>
      <c r="D35" s="53"/>
      <c r="E35" s="102"/>
      <c r="F35" s="53"/>
      <c r="G35" s="52"/>
      <c r="H35" s="42"/>
    </row>
    <row r="36" spans="1:8" ht="15" thickBot="1">
      <c r="A36" s="23"/>
      <c r="B36" s="23"/>
      <c r="C36" s="23"/>
      <c r="D36" s="23"/>
      <c r="E36" s="23"/>
      <c r="F36" s="23"/>
      <c r="G36" s="43" t="s">
        <v>289</v>
      </c>
      <c r="H36" s="44">
        <f>SUM(G32:G35)</f>
        <v>76830.136951920533</v>
      </c>
    </row>
    <row r="37" spans="1:8" ht="15" thickBot="1">
      <c r="A37" s="23"/>
      <c r="B37" s="23"/>
      <c r="C37" s="23"/>
      <c r="D37" s="23"/>
      <c r="E37" s="23"/>
      <c r="F37" s="23"/>
      <c r="G37" s="69"/>
      <c r="H37" s="20"/>
    </row>
    <row r="38" spans="1:8" ht="15" thickBot="1">
      <c r="A38" s="23"/>
      <c r="B38" s="23"/>
      <c r="C38" s="23"/>
      <c r="D38" s="23"/>
      <c r="E38" s="70" t="s">
        <v>306</v>
      </c>
      <c r="F38" s="71"/>
      <c r="G38" s="71"/>
      <c r="H38" s="44">
        <f>H16+H23+H29+H36</f>
        <v>89461.150647112619</v>
      </c>
    </row>
    <row r="39" spans="1:8" ht="15" thickBot="1">
      <c r="A39" s="25" t="s">
        <v>307</v>
      </c>
      <c r="B39" s="25"/>
      <c r="C39" s="23"/>
      <c r="D39" s="23"/>
      <c r="E39" s="23"/>
      <c r="F39" s="23"/>
      <c r="G39" s="23"/>
      <c r="H39" s="23"/>
    </row>
    <row r="40" spans="1:8">
      <c r="A40" s="72" t="s">
        <v>283</v>
      </c>
      <c r="B40" s="73"/>
      <c r="C40" s="73"/>
      <c r="D40" s="73"/>
      <c r="E40" s="74"/>
      <c r="F40" s="139" t="s">
        <v>308</v>
      </c>
      <c r="G40" s="138" t="s">
        <v>309</v>
      </c>
      <c r="H40" s="29"/>
    </row>
    <row r="41" spans="1:8">
      <c r="A41" s="45" t="s">
        <v>310</v>
      </c>
      <c r="B41" s="46"/>
      <c r="C41" s="46"/>
      <c r="D41" s="46"/>
      <c r="E41" s="47"/>
      <c r="F41" s="77">
        <f>+SALARIOS!C43</f>
        <v>0.15</v>
      </c>
      <c r="G41" s="78">
        <f>++F41*H38</f>
        <v>13419.172597066892</v>
      </c>
      <c r="H41" s="79"/>
    </row>
    <row r="42" spans="1:8">
      <c r="A42" s="45" t="s">
        <v>311</v>
      </c>
      <c r="B42" s="46"/>
      <c r="C42" s="46"/>
      <c r="D42" s="46"/>
      <c r="E42" s="47"/>
      <c r="F42" s="77">
        <f>+SALARIOS!C44</f>
        <v>0.05</v>
      </c>
      <c r="G42" s="78">
        <f>+F42*H38</f>
        <v>4473.0575323556313</v>
      </c>
      <c r="H42" s="79"/>
    </row>
    <row r="43" spans="1:8" ht="15" thickBot="1">
      <c r="A43" s="51" t="s">
        <v>312</v>
      </c>
      <c r="B43" s="52"/>
      <c r="C43" s="52"/>
      <c r="D43" s="52"/>
      <c r="E43" s="53"/>
      <c r="F43" s="80">
        <f>+SALARIOS!C45</f>
        <v>0.05</v>
      </c>
      <c r="G43" s="81">
        <f>+F43*H38</f>
        <v>4473.0575323556313</v>
      </c>
      <c r="H43" s="42"/>
    </row>
    <row r="44" spans="1:8" ht="15" thickBot="1">
      <c r="A44" s="23"/>
      <c r="B44" s="23"/>
      <c r="C44" s="23"/>
      <c r="D44" s="23"/>
      <c r="E44" s="23"/>
      <c r="F44" s="23"/>
      <c r="G44" s="43" t="s">
        <v>289</v>
      </c>
      <c r="H44" s="82">
        <f>SUM(G41:G43)</f>
        <v>22365.287661778159</v>
      </c>
    </row>
    <row r="45" spans="1:8" ht="15" thickBot="1">
      <c r="A45" s="23"/>
      <c r="B45" s="23"/>
      <c r="C45" s="23"/>
      <c r="D45" s="23"/>
      <c r="E45" s="23"/>
      <c r="F45" s="23"/>
      <c r="G45" s="23"/>
      <c r="H45" s="23"/>
    </row>
    <row r="46" spans="1:8" ht="15" thickBot="1">
      <c r="A46" s="2"/>
      <c r="B46" s="2"/>
      <c r="C46" s="23"/>
      <c r="D46" s="70" t="s">
        <v>313</v>
      </c>
      <c r="E46" s="71"/>
      <c r="F46" s="71"/>
      <c r="G46" s="71"/>
      <c r="H46" s="44">
        <f>ROUND((H38+H44),0)</f>
        <v>111826</v>
      </c>
    </row>
  </sheetData>
  <mergeCells count="12">
    <mergeCell ref="A31:B31"/>
    <mergeCell ref="A1:C2"/>
    <mergeCell ref="A3:C3"/>
    <mergeCell ref="D3:H3"/>
    <mergeCell ref="A9:C9"/>
    <mergeCell ref="A10:C10"/>
    <mergeCell ref="A12:C12"/>
    <mergeCell ref="A13:C13"/>
    <mergeCell ref="A14:C14"/>
    <mergeCell ref="A15:C15"/>
    <mergeCell ref="A18:C18"/>
    <mergeCell ref="A25:B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F33" sqref="F3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382</v>
      </c>
      <c r="B7" s="24"/>
      <c r="C7" s="23"/>
      <c r="D7" s="2"/>
      <c r="E7" s="24"/>
      <c r="F7" s="2"/>
      <c r="G7" s="24" t="s">
        <v>384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0.16666205704408021</v>
      </c>
      <c r="G12" s="33">
        <f>E12*F12</f>
        <v>19282.800000000079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19282.800000000079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19282.800000000079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2892.4200000000119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964.14000000000397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964.14000000000397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4820.7000000000198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24104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K233"/>
  <sheetViews>
    <sheetView zoomScaleNormal="100" workbookViewId="0">
      <pane ySplit="1" topLeftCell="A38" activePane="bottomLeft" state="frozen"/>
      <selection activeCell="C333" sqref="C333"/>
      <selection pane="bottomLeft" activeCell="J60" sqref="J60"/>
    </sheetView>
  </sheetViews>
  <sheetFormatPr baseColWidth="10" defaultRowHeight="14.4"/>
  <cols>
    <col min="1" max="1" width="11.44140625" style="392"/>
    <col min="2" max="2" width="6.109375" style="6" customWidth="1"/>
    <col min="3" max="3" width="63.88671875" bestFit="1" customWidth="1"/>
    <col min="4" max="4" width="9.109375" bestFit="1" customWidth="1"/>
    <col min="5" max="5" width="20.88671875" style="10" customWidth="1"/>
    <col min="6" max="6" width="16.33203125" bestFit="1" customWidth="1"/>
    <col min="7" max="7" width="17.6640625" customWidth="1"/>
    <col min="8" max="8" width="14.6640625" style="391" customWidth="1"/>
    <col min="11" max="11" width="12" bestFit="1" customWidth="1"/>
  </cols>
  <sheetData>
    <row r="1" spans="1:8" s="673" customFormat="1" ht="27.6">
      <c r="A1" s="743"/>
      <c r="B1" s="805" t="s">
        <v>330</v>
      </c>
      <c r="C1" s="805" t="s">
        <v>115</v>
      </c>
      <c r="D1" s="805" t="s">
        <v>0</v>
      </c>
      <c r="E1" s="805" t="s">
        <v>1265</v>
      </c>
      <c r="F1" s="805" t="s">
        <v>1262</v>
      </c>
      <c r="G1" s="805" t="s">
        <v>1263</v>
      </c>
      <c r="H1" s="805" t="s">
        <v>1264</v>
      </c>
    </row>
    <row r="2" spans="1:8">
      <c r="A2" s="986"/>
      <c r="B2" s="638">
        <v>1</v>
      </c>
      <c r="C2" s="650" t="s">
        <v>1249</v>
      </c>
      <c r="D2" s="652" t="s">
        <v>1235</v>
      </c>
      <c r="E2" s="1068">
        <f>ROUNDUP(AVERAGE(F2:H2),0)</f>
        <v>3088</v>
      </c>
      <c r="F2" s="666">
        <v>3300</v>
      </c>
      <c r="G2" s="945">
        <v>3096</v>
      </c>
      <c r="H2" s="945">
        <v>2867</v>
      </c>
    </row>
    <row r="3" spans="1:8">
      <c r="A3" s="986"/>
      <c r="B3" s="638">
        <v>2</v>
      </c>
      <c r="C3" s="650" t="s">
        <v>1248</v>
      </c>
      <c r="D3" s="652" t="s">
        <v>1235</v>
      </c>
      <c r="E3" s="1068">
        <f>ROUNDUP(AVERAGE(F3:H3),0)</f>
        <v>2927</v>
      </c>
      <c r="F3" s="666">
        <v>3030</v>
      </c>
      <c r="G3" s="945">
        <v>2916</v>
      </c>
      <c r="H3" s="945">
        <v>2833</v>
      </c>
    </row>
    <row r="4" spans="1:8">
      <c r="A4" s="986"/>
      <c r="B4" s="455">
        <v>3</v>
      </c>
      <c r="C4" s="650" t="s">
        <v>1444</v>
      </c>
      <c r="D4" s="652" t="s">
        <v>1175</v>
      </c>
      <c r="E4" s="1068">
        <f>ROUNDUP(AVERAGE(F4:H4),0)</f>
        <v>50000</v>
      </c>
      <c r="F4" s="655">
        <v>50499</v>
      </c>
      <c r="G4" s="655">
        <v>49500</v>
      </c>
      <c r="H4" s="655">
        <v>50000</v>
      </c>
    </row>
    <row r="5" spans="1:8">
      <c r="A5" s="986"/>
      <c r="B5" s="638">
        <v>4</v>
      </c>
      <c r="C5" s="650" t="s">
        <v>279</v>
      </c>
      <c r="D5" s="398" t="s">
        <v>1432</v>
      </c>
      <c r="E5" s="662">
        <f t="shared" ref="E5:E22" si="0">AVERAGE(F5:H5)</f>
        <v>68</v>
      </c>
      <c r="F5" s="662">
        <v>68</v>
      </c>
      <c r="G5" s="662"/>
      <c r="H5" s="662"/>
    </row>
    <row r="6" spans="1:8">
      <c r="A6" s="986"/>
      <c r="B6" s="455">
        <v>5</v>
      </c>
      <c r="C6" s="651" t="s">
        <v>1246</v>
      </c>
      <c r="D6" s="398" t="s">
        <v>1171</v>
      </c>
      <c r="E6" s="654">
        <f t="shared" si="0"/>
        <v>525.61904761904759</v>
      </c>
      <c r="F6" s="1098">
        <f>168900/350</f>
        <v>482.57142857142856</v>
      </c>
      <c r="G6" s="666">
        <f>198000/350</f>
        <v>565.71428571428567</v>
      </c>
      <c r="H6" s="655">
        <f>185000/350</f>
        <v>528.57142857142856</v>
      </c>
    </row>
    <row r="7" spans="1:8" s="391" customFormat="1">
      <c r="A7" s="986"/>
      <c r="B7" s="638">
        <v>6</v>
      </c>
      <c r="C7" s="650" t="s">
        <v>963</v>
      </c>
      <c r="D7" s="652" t="s">
        <v>1235</v>
      </c>
      <c r="E7" s="662">
        <f t="shared" si="0"/>
        <v>4166.666666666667</v>
      </c>
      <c r="F7" s="666">
        <v>3400</v>
      </c>
      <c r="G7" s="655">
        <v>3500</v>
      </c>
      <c r="H7" s="655">
        <v>5600</v>
      </c>
    </row>
    <row r="8" spans="1:8" s="391" customFormat="1">
      <c r="A8" s="986"/>
      <c r="B8" s="455">
        <v>7</v>
      </c>
      <c r="C8" s="650" t="s">
        <v>857</v>
      </c>
      <c r="D8" s="652" t="s">
        <v>1235</v>
      </c>
      <c r="E8" s="662">
        <f t="shared" si="0"/>
        <v>6038.666666666667</v>
      </c>
      <c r="F8" s="666">
        <v>5882</v>
      </c>
      <c r="G8" s="655">
        <v>6176</v>
      </c>
      <c r="H8" s="655">
        <v>6058</v>
      </c>
    </row>
    <row r="9" spans="1:8" s="391" customFormat="1">
      <c r="A9" s="986"/>
      <c r="B9" s="638">
        <v>8</v>
      </c>
      <c r="C9" s="650" t="s">
        <v>1250</v>
      </c>
      <c r="D9" s="652" t="s">
        <v>1171</v>
      </c>
      <c r="E9" s="662">
        <f t="shared" si="0"/>
        <v>8266.6666666666661</v>
      </c>
      <c r="F9" s="666">
        <f>50000/6</f>
        <v>8333.3333333333339</v>
      </c>
      <c r="G9" s="655">
        <f>46100/6</f>
        <v>7683.333333333333</v>
      </c>
      <c r="H9" s="666">
        <f>52700/6</f>
        <v>8783.3333333333339</v>
      </c>
    </row>
    <row r="10" spans="1:8" ht="15.6">
      <c r="A10" s="986"/>
      <c r="B10" s="455">
        <v>9</v>
      </c>
      <c r="C10" s="651" t="s">
        <v>1423</v>
      </c>
      <c r="D10" s="398" t="s">
        <v>1417</v>
      </c>
      <c r="E10" s="654">
        <f t="shared" si="0"/>
        <v>51566.666666666664</v>
      </c>
      <c r="F10" s="945">
        <v>53550</v>
      </c>
      <c r="G10" s="945">
        <f>45000*1.19</f>
        <v>53550</v>
      </c>
      <c r="H10" s="945">
        <f>40000*1.19</f>
        <v>47600</v>
      </c>
    </row>
    <row r="11" spans="1:8" ht="15.6">
      <c r="A11" s="986"/>
      <c r="B11" s="638">
        <v>10</v>
      </c>
      <c r="C11" s="650" t="s">
        <v>1436</v>
      </c>
      <c r="D11" s="398" t="s">
        <v>1417</v>
      </c>
      <c r="E11" s="655">
        <f t="shared" si="0"/>
        <v>65603.117366666658</v>
      </c>
      <c r="F11" s="945">
        <v>85680</v>
      </c>
      <c r="G11" s="945">
        <f>53735.59*1.19</f>
        <v>63945.352099999996</v>
      </c>
      <c r="H11" s="945">
        <v>47184</v>
      </c>
    </row>
    <row r="12" spans="1:8">
      <c r="A12" s="986"/>
      <c r="B12" s="455">
        <v>11</v>
      </c>
      <c r="C12" s="1153" t="s">
        <v>1727</v>
      </c>
      <c r="D12" s="398" t="s">
        <v>1175</v>
      </c>
      <c r="E12" s="655">
        <f t="shared" si="0"/>
        <v>262810</v>
      </c>
      <c r="F12" s="945">
        <f>192000*1.19</f>
        <v>228480</v>
      </c>
      <c r="G12" s="945">
        <v>239950</v>
      </c>
      <c r="H12" s="945">
        <v>320000</v>
      </c>
    </row>
    <row r="13" spans="1:8">
      <c r="A13" s="986"/>
      <c r="B13" s="638">
        <v>12</v>
      </c>
      <c r="C13" s="650" t="s">
        <v>1640</v>
      </c>
      <c r="D13" s="652" t="s">
        <v>1422</v>
      </c>
      <c r="E13" s="662">
        <f t="shared" si="0"/>
        <v>272886</v>
      </c>
      <c r="F13" s="662">
        <v>272886</v>
      </c>
      <c r="G13" s="657"/>
      <c r="H13" s="657"/>
    </row>
    <row r="14" spans="1:8" s="737" customFormat="1">
      <c r="A14" s="986"/>
      <c r="B14" s="455">
        <v>13</v>
      </c>
      <c r="C14" s="650" t="s">
        <v>920</v>
      </c>
      <c r="D14" s="652" t="s">
        <v>1235</v>
      </c>
      <c r="E14" s="655">
        <f t="shared" si="0"/>
        <v>514</v>
      </c>
      <c r="F14" s="662">
        <v>514</v>
      </c>
      <c r="G14" s="662">
        <v>516</v>
      </c>
      <c r="H14" s="662">
        <v>512</v>
      </c>
    </row>
    <row r="15" spans="1:8">
      <c r="A15" s="986"/>
      <c r="B15" s="638">
        <v>14</v>
      </c>
      <c r="C15" s="1111" t="s">
        <v>1435</v>
      </c>
      <c r="D15" s="652" t="s">
        <v>1421</v>
      </c>
      <c r="E15" s="663">
        <f t="shared" si="0"/>
        <v>7726.2733333333335</v>
      </c>
      <c r="F15" s="945">
        <f>6243*1.19</f>
        <v>7429.17</v>
      </c>
      <c r="G15" s="945">
        <f>6555*1.19</f>
        <v>7800.45</v>
      </c>
      <c r="H15" s="945">
        <f>6680*1.19</f>
        <v>7949.2</v>
      </c>
    </row>
    <row r="16" spans="1:8">
      <c r="A16" s="986"/>
      <c r="B16" s="455">
        <v>15</v>
      </c>
      <c r="C16" s="650" t="s">
        <v>1138</v>
      </c>
      <c r="D16" s="652" t="s">
        <v>1171</v>
      </c>
      <c r="E16" s="655">
        <f t="shared" si="0"/>
        <v>1199.9999999999993</v>
      </c>
      <c r="F16" s="655">
        <v>1200</v>
      </c>
      <c r="G16" s="655">
        <v>1200</v>
      </c>
      <c r="H16" s="655">
        <v>1199.9999999999984</v>
      </c>
    </row>
    <row r="17" spans="1:11" s="391" customFormat="1">
      <c r="A17" s="986"/>
      <c r="B17" s="638">
        <v>16</v>
      </c>
      <c r="C17" s="650" t="s">
        <v>1452</v>
      </c>
      <c r="D17" s="652" t="s">
        <v>1175</v>
      </c>
      <c r="E17" s="655">
        <f t="shared" si="0"/>
        <v>45633.333333333336</v>
      </c>
      <c r="F17" s="666">
        <v>51900</v>
      </c>
      <c r="G17" s="655">
        <v>50000</v>
      </c>
      <c r="H17" s="655">
        <v>35000</v>
      </c>
    </row>
    <row r="18" spans="1:11">
      <c r="A18" s="986"/>
      <c r="B18" s="455">
        <v>17</v>
      </c>
      <c r="C18" s="650" t="s">
        <v>1062</v>
      </c>
      <c r="D18" s="652" t="s">
        <v>1171</v>
      </c>
      <c r="E18" s="655">
        <f t="shared" si="0"/>
        <v>1900</v>
      </c>
      <c r="F18" s="655">
        <v>2000</v>
      </c>
      <c r="G18" s="655">
        <v>1900</v>
      </c>
      <c r="H18" s="655">
        <v>1799.9999999999998</v>
      </c>
    </row>
    <row r="19" spans="1:11">
      <c r="A19" s="986"/>
      <c r="B19" s="638">
        <v>18</v>
      </c>
      <c r="C19" s="650" t="s">
        <v>1725</v>
      </c>
      <c r="D19" s="652" t="s">
        <v>1171</v>
      </c>
      <c r="E19" s="655">
        <f t="shared" si="0"/>
        <v>54.77</v>
      </c>
      <c r="F19" s="655">
        <f>35900/500</f>
        <v>71.8</v>
      </c>
      <c r="G19" s="655">
        <f>+(14500*1.19)/500</f>
        <v>34.51</v>
      </c>
      <c r="H19" s="655">
        <v>58</v>
      </c>
    </row>
    <row r="20" spans="1:11" s="737" customFormat="1">
      <c r="A20" s="986"/>
      <c r="B20" s="455">
        <v>19</v>
      </c>
      <c r="C20" s="650" t="s">
        <v>903</v>
      </c>
      <c r="D20" s="661" t="s">
        <v>1175</v>
      </c>
      <c r="E20" s="655">
        <f t="shared" si="0"/>
        <v>7633.333333333333</v>
      </c>
      <c r="F20" s="655">
        <v>7000</v>
      </c>
      <c r="G20" s="655">
        <v>7500</v>
      </c>
      <c r="H20" s="655">
        <v>8400</v>
      </c>
    </row>
    <row r="21" spans="1:11">
      <c r="A21" s="986"/>
      <c r="B21" s="638">
        <v>20</v>
      </c>
      <c r="C21" s="651" t="s">
        <v>1424</v>
      </c>
      <c r="D21" s="398" t="s">
        <v>1175</v>
      </c>
      <c r="E21" s="655">
        <f t="shared" si="0"/>
        <v>1392</v>
      </c>
      <c r="F21" s="946">
        <v>1300</v>
      </c>
      <c r="G21" s="945">
        <v>1400</v>
      </c>
      <c r="H21" s="945">
        <v>1476.0000000000002</v>
      </c>
    </row>
    <row r="22" spans="1:11">
      <c r="A22" s="986"/>
      <c r="B22" s="455">
        <v>21</v>
      </c>
      <c r="C22" s="650" t="s">
        <v>1437</v>
      </c>
      <c r="D22" s="652" t="s">
        <v>1232</v>
      </c>
      <c r="E22" s="655">
        <f t="shared" si="0"/>
        <v>1500</v>
      </c>
      <c r="F22" s="946">
        <v>1500</v>
      </c>
      <c r="G22" s="945">
        <v>1400</v>
      </c>
      <c r="H22" s="945">
        <v>1600</v>
      </c>
    </row>
    <row r="23" spans="1:11" ht="16.2">
      <c r="A23" s="986"/>
      <c r="B23" s="638">
        <v>22</v>
      </c>
      <c r="C23" s="650" t="s">
        <v>904</v>
      </c>
      <c r="D23" s="652" t="s">
        <v>1433</v>
      </c>
      <c r="E23" s="662">
        <f>+AVERAGE(F23:H23)</f>
        <v>9166.6666666666661</v>
      </c>
      <c r="F23" s="655">
        <v>8000</v>
      </c>
      <c r="G23" s="655">
        <v>10000</v>
      </c>
      <c r="H23" s="655">
        <v>9500</v>
      </c>
    </row>
    <row r="24" spans="1:11" s="391" customFormat="1">
      <c r="A24" s="986"/>
      <c r="B24" s="455">
        <v>23</v>
      </c>
      <c r="C24" s="650" t="s">
        <v>1247</v>
      </c>
      <c r="D24" s="652" t="s">
        <v>1235</v>
      </c>
      <c r="E24" s="662">
        <f>+AVERAGE(F24:H24)</f>
        <v>6033.333333333333</v>
      </c>
      <c r="F24" s="655">
        <v>5300</v>
      </c>
      <c r="G24" s="655">
        <v>6800</v>
      </c>
      <c r="H24" s="655">
        <v>6000</v>
      </c>
    </row>
    <row r="25" spans="1:11" s="737" customFormat="1">
      <c r="A25" s="986"/>
      <c r="B25" s="638">
        <v>24</v>
      </c>
      <c r="C25" s="650" t="s">
        <v>1239</v>
      </c>
      <c r="D25" s="652" t="s">
        <v>1175</v>
      </c>
      <c r="E25" s="662">
        <f>AVERAGE(F25:H25)</f>
        <v>9833.3333333333339</v>
      </c>
      <c r="F25" s="655">
        <v>9500</v>
      </c>
      <c r="G25" s="655">
        <v>9500</v>
      </c>
      <c r="H25" s="655">
        <v>10500</v>
      </c>
    </row>
    <row r="26" spans="1:11">
      <c r="A26" s="986"/>
      <c r="B26" s="455">
        <v>25</v>
      </c>
      <c r="C26" s="650" t="s">
        <v>905</v>
      </c>
      <c r="D26" s="652" t="s">
        <v>1235</v>
      </c>
      <c r="E26" s="662">
        <f>+AVERAGE(F26:H26)</f>
        <v>8270</v>
      </c>
      <c r="F26" s="655">
        <v>8000</v>
      </c>
      <c r="G26" s="655">
        <v>8310</v>
      </c>
      <c r="H26" s="1112">
        <v>8500</v>
      </c>
      <c r="K26" s="1156"/>
    </row>
    <row r="27" spans="1:11">
      <c r="A27" s="986"/>
      <c r="B27" s="638">
        <v>26</v>
      </c>
      <c r="C27" s="650" t="s">
        <v>272</v>
      </c>
      <c r="D27" s="652" t="s">
        <v>1175</v>
      </c>
      <c r="E27" s="662">
        <f>+AVERAGE(F27:H27)</f>
        <v>540</v>
      </c>
      <c r="F27" s="666">
        <v>700</v>
      </c>
      <c r="G27" s="655">
        <f>400</f>
        <v>400</v>
      </c>
      <c r="H27" s="655">
        <v>520</v>
      </c>
    </row>
    <row r="28" spans="1:11" s="737" customFormat="1">
      <c r="A28" s="986"/>
      <c r="B28" s="455">
        <v>27</v>
      </c>
      <c r="C28" s="650" t="s">
        <v>949</v>
      </c>
      <c r="D28" s="652" t="s">
        <v>1175</v>
      </c>
      <c r="E28" s="662">
        <f>AVERAGE(F28:H28)</f>
        <v>15181</v>
      </c>
      <c r="F28" s="663">
        <v>14597</v>
      </c>
      <c r="G28" s="655">
        <v>15327</v>
      </c>
      <c r="H28" s="655">
        <v>15619</v>
      </c>
    </row>
    <row r="29" spans="1:11" s="737" customFormat="1" ht="16.2">
      <c r="A29" s="986"/>
      <c r="B29" s="638">
        <v>28</v>
      </c>
      <c r="C29" s="650" t="s">
        <v>1740</v>
      </c>
      <c r="D29" s="652" t="s">
        <v>1433</v>
      </c>
      <c r="E29" s="662">
        <f>AVERAGE(F29:H29)</f>
        <v>39016.666666666664</v>
      </c>
      <c r="F29" s="663">
        <v>42600</v>
      </c>
      <c r="G29" s="655">
        <v>37800</v>
      </c>
      <c r="H29" s="655">
        <v>36650</v>
      </c>
    </row>
    <row r="30" spans="1:11" s="737" customFormat="1">
      <c r="A30" s="986"/>
      <c r="B30" s="455">
        <v>29</v>
      </c>
      <c r="C30" s="650" t="s">
        <v>1057</v>
      </c>
      <c r="D30" s="652" t="s">
        <v>1171</v>
      </c>
      <c r="E30" s="655">
        <f>AVERAGE(F30:H30)</f>
        <v>1300</v>
      </c>
      <c r="F30" s="655">
        <v>1200</v>
      </c>
      <c r="G30" s="655">
        <v>1400</v>
      </c>
      <c r="H30" s="655">
        <v>1300</v>
      </c>
    </row>
    <row r="31" spans="1:11">
      <c r="A31" s="986"/>
      <c r="B31" s="638">
        <v>30</v>
      </c>
      <c r="C31" s="650" t="s">
        <v>946</v>
      </c>
      <c r="D31" s="652" t="s">
        <v>1171</v>
      </c>
      <c r="E31" s="655">
        <f>AVERAGE(F31:H31)</f>
        <v>1500</v>
      </c>
      <c r="F31" s="655">
        <v>1600</v>
      </c>
      <c r="G31" s="655">
        <v>1500</v>
      </c>
      <c r="H31" s="655">
        <v>1399.9999999999995</v>
      </c>
    </row>
    <row r="32" spans="1:11" s="391" customFormat="1">
      <c r="A32" s="986"/>
      <c r="B32" s="455">
        <v>31</v>
      </c>
      <c r="C32" s="650" t="s">
        <v>1448</v>
      </c>
      <c r="D32" s="652" t="s">
        <v>1171</v>
      </c>
      <c r="E32" s="655">
        <f>AVERAGE(F32:H32)</f>
        <v>2569</v>
      </c>
      <c r="F32" s="666">
        <f>126900/50</f>
        <v>2538</v>
      </c>
      <c r="G32" s="662">
        <v>2600</v>
      </c>
      <c r="H32" s="655"/>
    </row>
    <row r="33" spans="1:10" s="673" customFormat="1">
      <c r="A33" s="986"/>
      <c r="B33" s="638">
        <v>32</v>
      </c>
      <c r="C33" s="651" t="s">
        <v>1428</v>
      </c>
      <c r="D33" s="661" t="s">
        <v>1175</v>
      </c>
      <c r="E33" s="1068">
        <f>ROUNDUP(AVERAGE(F33:H33),0)</f>
        <v>69667</v>
      </c>
      <c r="F33" s="655">
        <v>69500</v>
      </c>
      <c r="G33" s="655">
        <v>69500</v>
      </c>
      <c r="H33" s="655">
        <v>70000</v>
      </c>
    </row>
    <row r="34" spans="1:10" s="1099" customFormat="1" ht="15.6">
      <c r="A34" s="986"/>
      <c r="B34" s="455">
        <v>33</v>
      </c>
      <c r="C34" s="651" t="s">
        <v>1418</v>
      </c>
      <c r="D34" s="398" t="s">
        <v>1687</v>
      </c>
      <c r="E34" s="655">
        <f t="shared" ref="E34:E39" si="1">AVERAGE(F34:H34)</f>
        <v>827454.6</v>
      </c>
      <c r="F34" s="666">
        <f>695340*1.19</f>
        <v>827454.6</v>
      </c>
      <c r="G34" s="655"/>
      <c r="H34" s="655"/>
    </row>
    <row r="35" spans="1:10" ht="15.6">
      <c r="A35" s="986"/>
      <c r="B35" s="638">
        <v>34</v>
      </c>
      <c r="C35" s="650" t="s">
        <v>864</v>
      </c>
      <c r="D35" s="398" t="s">
        <v>1417</v>
      </c>
      <c r="E35" s="655">
        <f t="shared" si="1"/>
        <v>3571.4285714285716</v>
      </c>
      <c r="F35" s="1112">
        <f>25000/7</f>
        <v>3571.4285714285716</v>
      </c>
      <c r="G35" s="655"/>
      <c r="H35" s="655"/>
      <c r="J35" s="1157"/>
    </row>
    <row r="36" spans="1:10" ht="15.6">
      <c r="A36" s="986"/>
      <c r="B36" s="455">
        <v>35</v>
      </c>
      <c r="C36" s="650" t="s">
        <v>987</v>
      </c>
      <c r="D36" s="398" t="s">
        <v>1417</v>
      </c>
      <c r="E36" s="662">
        <f t="shared" si="1"/>
        <v>62931.333333333336</v>
      </c>
      <c r="F36" s="945">
        <v>59500</v>
      </c>
      <c r="G36" s="1113">
        <f>55000*1.19</f>
        <v>65450</v>
      </c>
      <c r="H36" s="945">
        <v>63844</v>
      </c>
    </row>
    <row r="37" spans="1:10" ht="15.6">
      <c r="A37" s="986"/>
      <c r="B37" s="638">
        <v>36</v>
      </c>
      <c r="C37" s="650" t="s">
        <v>965</v>
      </c>
      <c r="D37" s="398" t="s">
        <v>1417</v>
      </c>
      <c r="E37" s="662">
        <f t="shared" si="1"/>
        <v>62931.333333333336</v>
      </c>
      <c r="F37" s="945">
        <v>59500</v>
      </c>
      <c r="G37" s="1113">
        <f>55000*1.19</f>
        <v>65450</v>
      </c>
      <c r="H37" s="945">
        <v>63844</v>
      </c>
    </row>
    <row r="38" spans="1:10" s="391" customFormat="1" ht="15.6">
      <c r="A38" s="986"/>
      <c r="B38" s="455">
        <v>37</v>
      </c>
      <c r="C38" s="650" t="s">
        <v>1082</v>
      </c>
      <c r="D38" s="398" t="s">
        <v>1417</v>
      </c>
      <c r="E38" s="662">
        <f t="shared" si="1"/>
        <v>61856.184199999996</v>
      </c>
      <c r="F38" s="655">
        <f>44289.54*1.19</f>
        <v>52704.552599999995</v>
      </c>
      <c r="G38" s="945">
        <f>60000*1.19</f>
        <v>71400</v>
      </c>
      <c r="H38" s="945">
        <v>61464</v>
      </c>
    </row>
    <row r="39" spans="1:10" s="391" customFormat="1">
      <c r="A39" s="986"/>
      <c r="B39" s="638">
        <v>38</v>
      </c>
      <c r="C39" s="650" t="s">
        <v>1055</v>
      </c>
      <c r="D39" s="652" t="s">
        <v>1420</v>
      </c>
      <c r="E39" s="662">
        <f t="shared" si="1"/>
        <v>59434.533333333326</v>
      </c>
      <c r="F39" s="666">
        <f>52383*1.16</f>
        <v>60764.28</v>
      </c>
      <c r="G39" s="655">
        <f>50000*1.16</f>
        <v>57999.999999999993</v>
      </c>
      <c r="H39" s="655">
        <f>51327*1.16</f>
        <v>59539.319999999992</v>
      </c>
    </row>
    <row r="40" spans="1:10">
      <c r="A40" s="986"/>
      <c r="B40" s="455">
        <v>39</v>
      </c>
      <c r="C40" s="1114" t="s">
        <v>1372</v>
      </c>
      <c r="D40" s="652" t="s">
        <v>1175</v>
      </c>
      <c r="E40" s="662">
        <f>+AVERAGE(F40:H40)</f>
        <v>2999.9999999999995</v>
      </c>
      <c r="F40" s="655">
        <v>3100</v>
      </c>
      <c r="G40" s="655">
        <v>2749.9999999999977</v>
      </c>
      <c r="H40" s="655">
        <v>3150</v>
      </c>
    </row>
    <row r="41" spans="1:10">
      <c r="A41" s="986"/>
      <c r="B41" s="638">
        <v>40</v>
      </c>
      <c r="C41" s="651" t="s">
        <v>1512</v>
      </c>
      <c r="D41" s="652" t="s">
        <v>1175</v>
      </c>
      <c r="E41" s="662">
        <f>+AVERAGE(F41:H41)</f>
        <v>17500.000000000025</v>
      </c>
      <c r="F41" s="666">
        <v>17500</v>
      </c>
      <c r="G41" s="655">
        <v>18000</v>
      </c>
      <c r="H41" s="655">
        <v>17000.000000000073</v>
      </c>
    </row>
    <row r="42" spans="1:10">
      <c r="A42" s="986"/>
      <c r="B42" s="455">
        <v>41</v>
      </c>
      <c r="C42" s="650" t="s">
        <v>1237</v>
      </c>
      <c r="D42" s="652" t="s">
        <v>1236</v>
      </c>
      <c r="E42" s="662">
        <f>AVERAGE(F42:H42)</f>
        <v>2588.3333333333335</v>
      </c>
      <c r="F42" s="666">
        <v>2521</v>
      </c>
      <c r="G42" s="655">
        <v>2647</v>
      </c>
      <c r="H42" s="655">
        <v>2597</v>
      </c>
    </row>
    <row r="43" spans="1:10" ht="15.6">
      <c r="A43" s="986"/>
      <c r="B43" s="638">
        <v>42</v>
      </c>
      <c r="C43" s="650" t="s">
        <v>1081</v>
      </c>
      <c r="D43" s="398" t="s">
        <v>1417</v>
      </c>
      <c r="E43" s="655">
        <f>AVERAGE(F43:H43)</f>
        <v>33310.309433333336</v>
      </c>
      <c r="F43" s="945">
        <v>38080</v>
      </c>
      <c r="G43" s="945">
        <f>25000*1.19</f>
        <v>29750</v>
      </c>
      <c r="H43" s="655">
        <f>26975.57*1.19</f>
        <v>32100.9283</v>
      </c>
    </row>
    <row r="44" spans="1:10" s="1099" customFormat="1">
      <c r="A44" s="986"/>
      <c r="B44" s="455">
        <v>43</v>
      </c>
      <c r="C44" s="650" t="s">
        <v>1426</v>
      </c>
      <c r="D44" s="652" t="s">
        <v>1427</v>
      </c>
      <c r="E44" s="662">
        <f>+AVERAGE(F44:H44)</f>
        <v>4189.0379999999996</v>
      </c>
      <c r="F44" s="666">
        <f>3520.2*1.19</f>
        <v>4189.0379999999996</v>
      </c>
      <c r="G44" s="655"/>
      <c r="H44" s="655"/>
    </row>
    <row r="45" spans="1:10" s="737" customFormat="1">
      <c r="A45" s="986"/>
      <c r="B45" s="638">
        <v>44</v>
      </c>
      <c r="C45" s="650" t="s">
        <v>1238</v>
      </c>
      <c r="D45" s="652" t="s">
        <v>1175</v>
      </c>
      <c r="E45" s="662">
        <f t="shared" ref="E45:E50" si="2">AVERAGE(F45:H45)</f>
        <v>17453.73</v>
      </c>
      <c r="F45" s="945">
        <f>14286*1.19</f>
        <v>17000.34</v>
      </c>
      <c r="G45" s="945">
        <f>15000*1.19</f>
        <v>17850</v>
      </c>
      <c r="H45" s="945">
        <f>14715*1.19</f>
        <v>17510.849999999999</v>
      </c>
    </row>
    <row r="46" spans="1:10" ht="15.6">
      <c r="A46" s="986"/>
      <c r="B46" s="455">
        <v>45</v>
      </c>
      <c r="C46" s="650" t="s">
        <v>1144</v>
      </c>
      <c r="D46" s="398" t="s">
        <v>1417</v>
      </c>
      <c r="E46" s="662">
        <f t="shared" si="2"/>
        <v>62798.362733333335</v>
      </c>
      <c r="F46" s="945">
        <v>83300</v>
      </c>
      <c r="G46" s="945">
        <f>50664.78*1.19</f>
        <v>60291.088199999998</v>
      </c>
      <c r="H46" s="945">
        <v>44804</v>
      </c>
    </row>
    <row r="47" spans="1:10">
      <c r="A47" s="986"/>
      <c r="B47" s="638">
        <v>46</v>
      </c>
      <c r="C47" s="650" t="s">
        <v>1724</v>
      </c>
      <c r="D47" s="398" t="s">
        <v>1175</v>
      </c>
      <c r="E47" s="662">
        <f t="shared" si="2"/>
        <v>32553.333333333332</v>
      </c>
      <c r="F47" s="945">
        <f>21000*1.19</f>
        <v>24990</v>
      </c>
      <c r="G47" s="945">
        <v>37670</v>
      </c>
      <c r="H47" s="655">
        <v>35000</v>
      </c>
    </row>
    <row r="48" spans="1:10">
      <c r="A48" s="986"/>
      <c r="B48" s="455">
        <v>47</v>
      </c>
      <c r="C48" s="650" t="s">
        <v>1735</v>
      </c>
      <c r="D48" s="398" t="s">
        <v>1175</v>
      </c>
      <c r="E48" s="662">
        <f t="shared" si="2"/>
        <v>205610</v>
      </c>
      <c r="F48" s="945">
        <v>258900</v>
      </c>
      <c r="G48" s="945">
        <f>128000*1.19</f>
        <v>152320</v>
      </c>
      <c r="H48" s="655"/>
    </row>
    <row r="49" spans="1:11">
      <c r="A49" s="986"/>
      <c r="B49" s="638">
        <v>48</v>
      </c>
      <c r="C49" s="650" t="s">
        <v>1240</v>
      </c>
      <c r="D49" s="652" t="s">
        <v>1171</v>
      </c>
      <c r="E49" s="662">
        <f t="shared" si="2"/>
        <v>4666.670000000001</v>
      </c>
      <c r="F49" s="655">
        <v>4800.0100000000011</v>
      </c>
      <c r="G49" s="655">
        <v>4400</v>
      </c>
      <c r="H49" s="655">
        <v>4800</v>
      </c>
      <c r="J49" s="1158"/>
      <c r="K49" s="1157"/>
    </row>
    <row r="50" spans="1:11">
      <c r="A50" s="986"/>
      <c r="B50" s="455">
        <v>49</v>
      </c>
      <c r="C50" s="650" t="s">
        <v>865</v>
      </c>
      <c r="D50" s="652" t="s">
        <v>1171</v>
      </c>
      <c r="E50" s="662">
        <f t="shared" si="2"/>
        <v>1638.8888888888887</v>
      </c>
      <c r="F50" s="655">
        <v>1583.3333333333333</v>
      </c>
      <c r="G50" s="655">
        <v>1583.3333333333333</v>
      </c>
      <c r="H50" s="655">
        <v>1750</v>
      </c>
      <c r="J50" s="1158"/>
      <c r="K50" s="1157"/>
    </row>
    <row r="51" spans="1:11" ht="15.6">
      <c r="A51" s="986"/>
      <c r="B51" s="638">
        <v>50</v>
      </c>
      <c r="C51" s="806" t="s">
        <v>1050</v>
      </c>
      <c r="D51" s="398" t="s">
        <v>1419</v>
      </c>
      <c r="E51" s="662">
        <f>ROUNDUP(AVERAGE(F51:H51),0)</f>
        <v>1250</v>
      </c>
      <c r="F51" s="1117">
        <f>1000*1.16</f>
        <v>1160</v>
      </c>
      <c r="G51" s="1115">
        <v>1339.9999999999998</v>
      </c>
      <c r="H51" s="655"/>
    </row>
    <row r="52" spans="1:11" s="391" customFormat="1">
      <c r="A52" s="986"/>
      <c r="B52" s="455">
        <v>51</v>
      </c>
      <c r="C52" s="650" t="s">
        <v>985</v>
      </c>
      <c r="D52" s="652" t="s">
        <v>1171</v>
      </c>
      <c r="E52" s="662">
        <f>AVERAGE(F52:H52)</f>
        <v>1583.3333333333333</v>
      </c>
      <c r="F52" s="662">
        <v>1500</v>
      </c>
      <c r="G52" s="662">
        <v>1550</v>
      </c>
      <c r="H52" s="662">
        <v>1700</v>
      </c>
    </row>
    <row r="53" spans="1:11" ht="15.6">
      <c r="A53" s="986"/>
      <c r="B53" s="638">
        <v>52</v>
      </c>
      <c r="C53" s="651" t="s">
        <v>1439</v>
      </c>
      <c r="D53" s="398" t="s">
        <v>1417</v>
      </c>
      <c r="E53" s="662">
        <f>AVERAGE(F53:H53)</f>
        <v>100000</v>
      </c>
      <c r="F53" s="655">
        <v>80000</v>
      </c>
      <c r="G53" s="655">
        <v>120000</v>
      </c>
      <c r="H53" s="655">
        <v>100000</v>
      </c>
    </row>
    <row r="54" spans="1:11" ht="15.6">
      <c r="A54" s="986"/>
      <c r="B54" s="455">
        <v>53</v>
      </c>
      <c r="C54" s="650" t="s">
        <v>948</v>
      </c>
      <c r="D54" s="398" t="s">
        <v>1417</v>
      </c>
      <c r="E54" s="662">
        <f>AVERAGE(F54:H54)</f>
        <v>81699.892283333334</v>
      </c>
      <c r="F54" s="945">
        <v>95200</v>
      </c>
      <c r="G54" s="945">
        <f>60000*1.19</f>
        <v>71400</v>
      </c>
      <c r="H54" s="1077">
        <v>78499.676849999989</v>
      </c>
    </row>
    <row r="55" spans="1:11">
      <c r="A55" s="986"/>
      <c r="B55" s="638">
        <v>54</v>
      </c>
      <c r="C55" s="650" t="s">
        <v>1734</v>
      </c>
      <c r="D55" s="398" t="s">
        <v>1171</v>
      </c>
      <c r="E55" s="662">
        <f>AVERAGE(F55:H55)</f>
        <v>11613.666666666666</v>
      </c>
      <c r="F55" s="945">
        <v>11691</v>
      </c>
      <c r="G55" s="945">
        <f>68400/6</f>
        <v>11400</v>
      </c>
      <c r="H55" s="1077">
        <f>70500/6</f>
        <v>11750</v>
      </c>
    </row>
    <row r="56" spans="1:11">
      <c r="A56" s="986"/>
      <c r="B56" s="455">
        <v>55</v>
      </c>
      <c r="C56" s="649" t="s">
        <v>1438</v>
      </c>
      <c r="D56" s="398" t="s">
        <v>1236</v>
      </c>
      <c r="E56" s="662">
        <f>AVERAGE(F56:H56)</f>
        <v>20656</v>
      </c>
      <c r="F56" s="666">
        <v>20398</v>
      </c>
      <c r="G56" s="655">
        <v>20790</v>
      </c>
      <c r="H56" s="655">
        <v>20780</v>
      </c>
    </row>
    <row r="57" spans="1:11">
      <c r="A57" s="986"/>
      <c r="B57" s="638">
        <v>56</v>
      </c>
      <c r="C57" s="649" t="s">
        <v>1368</v>
      </c>
      <c r="D57" s="398" t="s">
        <v>1235</v>
      </c>
      <c r="E57" s="655">
        <f>+AVERAGE(F57:H57)/50</f>
        <v>1623.0000000000002</v>
      </c>
      <c r="F57" s="945">
        <v>78200</v>
      </c>
      <c r="G57" s="655">
        <v>83200</v>
      </c>
      <c r="H57" s="655">
        <v>82050.000000000029</v>
      </c>
    </row>
    <row r="58" spans="1:11">
      <c r="A58" s="986"/>
      <c r="B58" s="455">
        <v>57</v>
      </c>
      <c r="C58" s="649" t="s">
        <v>1416</v>
      </c>
      <c r="D58" s="398" t="s">
        <v>1235</v>
      </c>
      <c r="E58" s="655">
        <f>+AVERAGE(F58:H58)</f>
        <v>33840.000000000007</v>
      </c>
      <c r="F58" s="945">
        <v>36400</v>
      </c>
      <c r="G58" s="655">
        <v>32920.000000000015</v>
      </c>
      <c r="H58" s="655">
        <v>32200</v>
      </c>
    </row>
    <row r="59" spans="1:11">
      <c r="A59" s="986"/>
      <c r="B59" s="638">
        <v>58</v>
      </c>
      <c r="C59" s="649" t="s">
        <v>1371</v>
      </c>
      <c r="D59" s="398" t="s">
        <v>1235</v>
      </c>
      <c r="E59" s="655">
        <f>+AVERAGE(F59:H59)</f>
        <v>36800</v>
      </c>
      <c r="F59" s="945">
        <v>35000</v>
      </c>
      <c r="G59" s="655">
        <v>38000</v>
      </c>
      <c r="H59" s="655">
        <v>37399.999999999993</v>
      </c>
    </row>
    <row r="60" spans="1:11">
      <c r="A60" s="986"/>
      <c r="B60" s="455">
        <v>59</v>
      </c>
      <c r="C60" s="649" t="s">
        <v>1387</v>
      </c>
      <c r="D60" s="652" t="s">
        <v>1388</v>
      </c>
      <c r="E60" s="655">
        <f>+AVERAGE(F60:H60)</f>
        <v>22000</v>
      </c>
      <c r="F60" s="666">
        <v>22000</v>
      </c>
      <c r="G60" s="655">
        <v>22000</v>
      </c>
      <c r="H60" s="655">
        <v>22000</v>
      </c>
    </row>
    <row r="61" spans="1:11">
      <c r="A61" s="986"/>
      <c r="B61" s="638">
        <v>60</v>
      </c>
      <c r="C61" s="649" t="s">
        <v>1394</v>
      </c>
      <c r="D61" s="652" t="s">
        <v>1175</v>
      </c>
      <c r="E61" s="662">
        <f>AVERAGE(F61:H61)</f>
        <v>8000</v>
      </c>
      <c r="F61" s="655">
        <v>8000.0000000000009</v>
      </c>
      <c r="G61" s="655">
        <v>8200</v>
      </c>
      <c r="H61" s="655">
        <v>7800</v>
      </c>
    </row>
    <row r="62" spans="1:11">
      <c r="A62" s="986"/>
      <c r="B62" s="455">
        <v>61</v>
      </c>
      <c r="C62" s="649" t="s">
        <v>1395</v>
      </c>
      <c r="D62" s="652" t="s">
        <v>1235</v>
      </c>
      <c r="E62" s="662">
        <f>AVERAGE(F62:H62)</f>
        <v>843.5</v>
      </c>
      <c r="F62" s="655">
        <v>820</v>
      </c>
      <c r="G62" s="655">
        <v>780</v>
      </c>
      <c r="H62" s="655">
        <v>930.49999999999989</v>
      </c>
    </row>
    <row r="63" spans="1:11">
      <c r="A63" s="986"/>
      <c r="B63" s="638">
        <v>62</v>
      </c>
      <c r="C63" s="649" t="s">
        <v>1399</v>
      </c>
      <c r="D63" s="652" t="s">
        <v>1175</v>
      </c>
      <c r="E63" s="662">
        <f>AVERAGE(F63:H63)</f>
        <v>1000.0000000000003</v>
      </c>
      <c r="F63" s="655">
        <v>1050.0000000000009</v>
      </c>
      <c r="G63" s="655">
        <v>950</v>
      </c>
      <c r="H63" s="655">
        <v>1000</v>
      </c>
    </row>
    <row r="64" spans="1:11" s="391" customFormat="1" ht="15">
      <c r="A64" s="392"/>
      <c r="B64" s="702"/>
      <c r="C64" s="1162" t="s">
        <v>933</v>
      </c>
      <c r="D64" s="983"/>
      <c r="E64" s="984"/>
      <c r="F64" s="1163"/>
      <c r="G64" s="709"/>
      <c r="H64" s="709"/>
    </row>
    <row r="65" spans="1:8" s="391" customFormat="1">
      <c r="A65" s="392"/>
      <c r="B65" s="703"/>
      <c r="C65" s="704"/>
      <c r="D65" s="705"/>
      <c r="E65" s="706"/>
      <c r="F65" s="701" t="s">
        <v>923</v>
      </c>
      <c r="G65" s="701" t="s">
        <v>925</v>
      </c>
      <c r="H65" s="701" t="s">
        <v>1173</v>
      </c>
    </row>
    <row r="66" spans="1:8" s="391" customFormat="1">
      <c r="A66" s="392"/>
      <c r="B66" s="638">
        <v>63</v>
      </c>
      <c r="C66" s="660" t="s">
        <v>1176</v>
      </c>
      <c r="D66" s="661" t="s">
        <v>1175</v>
      </c>
      <c r="E66" s="663">
        <f t="shared" ref="E66:E69" si="3">+AVERAGE(F66:H66)</f>
        <v>460.66666666666669</v>
      </c>
      <c r="F66" s="707">
        <v>459</v>
      </c>
      <c r="G66" s="707">
        <v>463</v>
      </c>
      <c r="H66" s="707">
        <v>460</v>
      </c>
    </row>
    <row r="67" spans="1:8" s="391" customFormat="1">
      <c r="A67" s="392"/>
      <c r="B67" s="1159">
        <v>64</v>
      </c>
      <c r="C67" s="660" t="s">
        <v>1177</v>
      </c>
      <c r="D67" s="661" t="s">
        <v>1175</v>
      </c>
      <c r="E67" s="663">
        <f t="shared" si="3"/>
        <v>833.33333333333337</v>
      </c>
      <c r="F67" s="707">
        <v>831</v>
      </c>
      <c r="G67" s="707">
        <v>833</v>
      </c>
      <c r="H67" s="707">
        <v>836</v>
      </c>
    </row>
    <row r="68" spans="1:8" s="391" customFormat="1">
      <c r="A68" s="392"/>
      <c r="B68" s="1159">
        <v>65</v>
      </c>
      <c r="C68" s="660" t="s">
        <v>1178</v>
      </c>
      <c r="D68" s="661" t="s">
        <v>1175</v>
      </c>
      <c r="E68" s="663">
        <f t="shared" si="3"/>
        <v>1854.6666666666667</v>
      </c>
      <c r="F68" s="707">
        <v>1853</v>
      </c>
      <c r="G68" s="707">
        <v>1858</v>
      </c>
      <c r="H68" s="707">
        <v>1853</v>
      </c>
    </row>
    <row r="69" spans="1:8" s="391" customFormat="1">
      <c r="A69" s="392"/>
      <c r="B69" s="1159">
        <v>66</v>
      </c>
      <c r="C69" s="660" t="s">
        <v>1179</v>
      </c>
      <c r="D69" s="661" t="s">
        <v>1175</v>
      </c>
      <c r="E69" s="663">
        <f t="shared" si="3"/>
        <v>9135</v>
      </c>
      <c r="F69" s="707">
        <v>9133</v>
      </c>
      <c r="G69" s="707">
        <v>9138</v>
      </c>
      <c r="H69" s="707">
        <v>9134</v>
      </c>
    </row>
    <row r="70" spans="1:8" s="391" customFormat="1">
      <c r="A70" s="392"/>
      <c r="B70" s="1159">
        <v>67</v>
      </c>
      <c r="C70" s="660" t="s">
        <v>999</v>
      </c>
      <c r="D70" s="661" t="s">
        <v>1175</v>
      </c>
      <c r="E70" s="663">
        <f t="shared" ref="E70:E73" si="4">AVERAGE(F70:H70)</f>
        <v>407.66666666666669</v>
      </c>
      <c r="F70" s="666">
        <v>407</v>
      </c>
      <c r="G70" s="655">
        <v>409</v>
      </c>
      <c r="H70" s="655">
        <v>407</v>
      </c>
    </row>
    <row r="71" spans="1:8" s="391" customFormat="1">
      <c r="A71" s="392"/>
      <c r="B71" s="1159">
        <v>68</v>
      </c>
      <c r="C71" s="660" t="s">
        <v>1001</v>
      </c>
      <c r="D71" s="661" t="s">
        <v>1175</v>
      </c>
      <c r="E71" s="663">
        <f t="shared" si="4"/>
        <v>742.33333333333337</v>
      </c>
      <c r="F71" s="666">
        <v>740</v>
      </c>
      <c r="G71" s="655">
        <v>743</v>
      </c>
      <c r="H71" s="655">
        <v>744</v>
      </c>
    </row>
    <row r="72" spans="1:8" s="391" customFormat="1">
      <c r="A72" s="392"/>
      <c r="B72" s="1159">
        <v>69</v>
      </c>
      <c r="C72" s="710" t="s">
        <v>1003</v>
      </c>
      <c r="D72" s="711" t="s">
        <v>1175</v>
      </c>
      <c r="E72" s="712">
        <f t="shared" si="4"/>
        <v>1551</v>
      </c>
      <c r="F72" s="976">
        <v>1549</v>
      </c>
      <c r="G72" s="977">
        <v>1552</v>
      </c>
      <c r="H72" s="977">
        <v>1552</v>
      </c>
    </row>
    <row r="73" spans="1:8" s="391" customFormat="1">
      <c r="A73" s="392"/>
      <c r="B73" s="1159">
        <v>70</v>
      </c>
      <c r="C73" s="710" t="s">
        <v>1005</v>
      </c>
      <c r="D73" s="711" t="s">
        <v>1175</v>
      </c>
      <c r="E73" s="712">
        <f t="shared" si="4"/>
        <v>5460</v>
      </c>
      <c r="F73" s="976">
        <v>5456</v>
      </c>
      <c r="G73" s="977">
        <v>5463</v>
      </c>
      <c r="H73" s="977">
        <v>5461</v>
      </c>
    </row>
    <row r="74" spans="1:8" s="673" customFormat="1">
      <c r="A74" s="743"/>
      <c r="B74" s="1159">
        <v>71</v>
      </c>
      <c r="C74" s="658" t="s">
        <v>1329</v>
      </c>
      <c r="D74" s="661" t="s">
        <v>1175</v>
      </c>
      <c r="E74" s="663">
        <f t="shared" ref="E74:E82" si="5">AVERAGE(F74:H74)</f>
        <v>37349.340000000004</v>
      </c>
      <c r="F74" s="663">
        <f>30400*1.19</f>
        <v>36176</v>
      </c>
      <c r="G74" s="663">
        <f>39800*1.19</f>
        <v>47362</v>
      </c>
      <c r="H74" s="663">
        <v>28510.02</v>
      </c>
    </row>
    <row r="75" spans="1:8" s="673" customFormat="1">
      <c r="A75" s="743"/>
      <c r="B75" s="1159">
        <v>72</v>
      </c>
      <c r="C75" s="658" t="s">
        <v>1328</v>
      </c>
      <c r="D75" s="661" t="s">
        <v>1175</v>
      </c>
      <c r="E75" s="663">
        <f t="shared" si="5"/>
        <v>38936.006666666668</v>
      </c>
      <c r="F75" s="663">
        <f>34400*1.19</f>
        <v>40936</v>
      </c>
      <c r="G75" s="663">
        <f>39800*1.19</f>
        <v>47362</v>
      </c>
      <c r="H75" s="663">
        <v>28510.02</v>
      </c>
    </row>
    <row r="76" spans="1:8" s="673" customFormat="1">
      <c r="A76" s="743"/>
      <c r="B76" s="1159">
        <v>73</v>
      </c>
      <c r="C76" s="658" t="s">
        <v>1330</v>
      </c>
      <c r="D76" s="661" t="s">
        <v>1175</v>
      </c>
      <c r="E76" s="663">
        <f t="shared" si="5"/>
        <v>51664.643333333333</v>
      </c>
      <c r="F76" s="663">
        <f>36000*1.19</f>
        <v>42840</v>
      </c>
      <c r="G76" s="663">
        <f>45000*1.19</f>
        <v>53550</v>
      </c>
      <c r="H76" s="655">
        <v>58603.93</v>
      </c>
    </row>
    <row r="77" spans="1:8" s="673" customFormat="1">
      <c r="A77" s="743"/>
      <c r="B77" s="1159">
        <v>74</v>
      </c>
      <c r="C77" s="658" t="s">
        <v>1331</v>
      </c>
      <c r="D77" s="661" t="s">
        <v>1175</v>
      </c>
      <c r="E77" s="663">
        <f t="shared" si="5"/>
        <v>45780.49</v>
      </c>
      <c r="F77" s="663">
        <f>36800*1.19</f>
        <v>43792</v>
      </c>
      <c r="G77" s="663">
        <f>48000*1.19</f>
        <v>57120</v>
      </c>
      <c r="H77" s="663">
        <v>36429.47</v>
      </c>
    </row>
    <row r="78" spans="1:8" s="673" customFormat="1">
      <c r="A78" s="743"/>
      <c r="B78" s="1159">
        <v>75</v>
      </c>
      <c r="C78" s="658" t="s">
        <v>1332</v>
      </c>
      <c r="D78" s="661" t="s">
        <v>1175</v>
      </c>
      <c r="E78" s="663">
        <f t="shared" si="5"/>
        <v>47367.156666666669</v>
      </c>
      <c r="F78" s="663">
        <f>40800*1.19</f>
        <v>48552</v>
      </c>
      <c r="G78" s="663">
        <f>48000*1.19</f>
        <v>57120</v>
      </c>
      <c r="H78" s="663">
        <v>36429.47</v>
      </c>
    </row>
    <row r="79" spans="1:8" s="673" customFormat="1">
      <c r="A79" s="743"/>
      <c r="B79" s="1159">
        <v>76</v>
      </c>
      <c r="C79" s="658" t="s">
        <v>1333</v>
      </c>
      <c r="D79" s="661" t="s">
        <v>1175</v>
      </c>
      <c r="E79" s="663">
        <f t="shared" si="5"/>
        <v>58432.57</v>
      </c>
      <c r="F79" s="663">
        <f>42400*1.19</f>
        <v>50456</v>
      </c>
      <c r="G79" s="663">
        <f>53000*1.19</f>
        <v>63070</v>
      </c>
      <c r="H79" s="655">
        <v>61771.71</v>
      </c>
    </row>
    <row r="80" spans="1:8" s="673" customFormat="1">
      <c r="A80" s="743"/>
      <c r="B80" s="1159">
        <v>77</v>
      </c>
      <c r="C80" s="658" t="s">
        <v>1340</v>
      </c>
      <c r="D80" s="661" t="s">
        <v>1175</v>
      </c>
      <c r="E80" s="663">
        <f t="shared" si="5"/>
        <v>55032.343333333331</v>
      </c>
      <c r="F80" s="663">
        <f>44800*1.19</f>
        <v>53312</v>
      </c>
      <c r="G80" s="663">
        <f>58000*1.19</f>
        <v>69020</v>
      </c>
      <c r="H80" s="655">
        <v>42765.03</v>
      </c>
    </row>
    <row r="81" spans="1:8" s="673" customFormat="1">
      <c r="A81" s="743"/>
      <c r="B81" s="1159">
        <v>78</v>
      </c>
      <c r="C81" s="658" t="s">
        <v>1341</v>
      </c>
      <c r="D81" s="661" t="s">
        <v>1175</v>
      </c>
      <c r="E81" s="663">
        <f t="shared" si="5"/>
        <v>56619.01</v>
      </c>
      <c r="F81" s="663">
        <f>48800*1.19</f>
        <v>58072</v>
      </c>
      <c r="G81" s="663">
        <f>58000*1.19</f>
        <v>69020</v>
      </c>
      <c r="H81" s="655">
        <v>42765.03</v>
      </c>
    </row>
    <row r="82" spans="1:8" s="673" customFormat="1">
      <c r="A82" s="743"/>
      <c r="B82" s="1159">
        <v>79</v>
      </c>
      <c r="C82" s="658" t="s">
        <v>1342</v>
      </c>
      <c r="D82" s="661" t="s">
        <v>1175</v>
      </c>
      <c r="E82" s="663">
        <f t="shared" si="5"/>
        <v>70061.646666666667</v>
      </c>
      <c r="F82" s="663">
        <f>50400*1.19</f>
        <v>59976</v>
      </c>
      <c r="G82" s="663">
        <f>65000*1.19</f>
        <v>77350</v>
      </c>
      <c r="H82" s="655">
        <v>72858.94</v>
      </c>
    </row>
    <row r="83" spans="1:8" s="391" customFormat="1">
      <c r="A83" s="392"/>
      <c r="B83" s="1159">
        <v>80</v>
      </c>
      <c r="C83" s="658" t="s">
        <v>1180</v>
      </c>
      <c r="D83" s="653" t="s">
        <v>1175</v>
      </c>
      <c r="E83" s="1068">
        <f t="shared" ref="E83:E84" si="6">ROUNDUP(AVERAGE(F83:H83),0)</f>
        <v>11790</v>
      </c>
      <c r="F83" s="945">
        <f>9526*1.19</f>
        <v>11335.939999999999</v>
      </c>
      <c r="G83" s="945">
        <f>10003*1.19</f>
        <v>11903.57</v>
      </c>
      <c r="H83" s="945">
        <f>10193*1.19</f>
        <v>12129.67</v>
      </c>
    </row>
    <row r="84" spans="1:8" s="391" customFormat="1">
      <c r="A84" s="392"/>
      <c r="B84" s="1159">
        <v>81</v>
      </c>
      <c r="C84" s="658" t="s">
        <v>1181</v>
      </c>
      <c r="D84" s="653" t="s">
        <v>1175</v>
      </c>
      <c r="E84" s="1068">
        <f t="shared" si="6"/>
        <v>11790</v>
      </c>
      <c r="F84" s="945">
        <f>9526*1.19</f>
        <v>11335.939999999999</v>
      </c>
      <c r="G84" s="945">
        <f>10003*1.19</f>
        <v>11903.57</v>
      </c>
      <c r="H84" s="945">
        <f>10193*1.19</f>
        <v>12129.67</v>
      </c>
    </row>
    <row r="85" spans="1:8" s="391" customFormat="1">
      <c r="A85" s="392"/>
      <c r="B85" s="1159">
        <v>82</v>
      </c>
      <c r="C85" s="658" t="s">
        <v>1182</v>
      </c>
      <c r="D85" s="653" t="s">
        <v>1175</v>
      </c>
      <c r="E85" s="663">
        <f t="shared" ref="E85:E89" si="7">AVERAGE(F85:H85)</f>
        <v>18952.666666666668</v>
      </c>
      <c r="F85" s="663">
        <v>17737</v>
      </c>
      <c r="G85" s="663">
        <v>20054</v>
      </c>
      <c r="H85" s="663">
        <v>19067</v>
      </c>
    </row>
    <row r="86" spans="1:8" s="391" customFormat="1">
      <c r="A86" s="392"/>
      <c r="B86" s="1159">
        <v>83</v>
      </c>
      <c r="C86" s="658" t="s">
        <v>1197</v>
      </c>
      <c r="D86" s="653" t="s">
        <v>1175</v>
      </c>
      <c r="E86" s="663">
        <f t="shared" si="7"/>
        <v>19059</v>
      </c>
      <c r="F86" s="663">
        <v>19044</v>
      </c>
      <c r="G86" s="663">
        <v>19066</v>
      </c>
      <c r="H86" s="663">
        <v>19067</v>
      </c>
    </row>
    <row r="87" spans="1:8" s="391" customFormat="1">
      <c r="A87" s="392"/>
      <c r="B87" s="1159">
        <v>84</v>
      </c>
      <c r="C87" s="658" t="s">
        <v>1198</v>
      </c>
      <c r="D87" s="653" t="s">
        <v>1175</v>
      </c>
      <c r="E87" s="663">
        <f t="shared" si="7"/>
        <v>23268.333333333332</v>
      </c>
      <c r="F87" s="663">
        <v>21950</v>
      </c>
      <c r="G87" s="663">
        <v>25491</v>
      </c>
      <c r="H87" s="663">
        <v>22364</v>
      </c>
    </row>
    <row r="88" spans="1:8" s="391" customFormat="1">
      <c r="A88" s="392"/>
      <c r="B88" s="1159">
        <v>85</v>
      </c>
      <c r="C88" s="658" t="s">
        <v>1199</v>
      </c>
      <c r="D88" s="653" t="s">
        <v>1175</v>
      </c>
      <c r="E88" s="663">
        <f t="shared" si="7"/>
        <v>22354.666666666668</v>
      </c>
      <c r="F88" s="663">
        <v>22339</v>
      </c>
      <c r="G88" s="663">
        <v>22361</v>
      </c>
      <c r="H88" s="663">
        <v>22364</v>
      </c>
    </row>
    <row r="89" spans="1:8" s="391" customFormat="1">
      <c r="A89" s="392"/>
      <c r="B89" s="1159">
        <v>86</v>
      </c>
      <c r="C89" s="658" t="s">
        <v>1196</v>
      </c>
      <c r="D89" s="653" t="s">
        <v>1175</v>
      </c>
      <c r="E89" s="663">
        <f t="shared" si="7"/>
        <v>51297.9</v>
      </c>
      <c r="F89" s="945">
        <f>39230*1.19</f>
        <v>46683.7</v>
      </c>
      <c r="G89" s="945">
        <v>53604</v>
      </c>
      <c r="H89" s="663">
        <v>53606</v>
      </c>
    </row>
    <row r="90" spans="1:8" s="391" customFormat="1">
      <c r="A90" s="392"/>
      <c r="B90" s="1159">
        <v>87</v>
      </c>
      <c r="C90" s="658" t="s">
        <v>273</v>
      </c>
      <c r="D90" s="661" t="s">
        <v>1175</v>
      </c>
      <c r="E90" s="662">
        <f t="shared" ref="E90:E95" si="8">ROUNDUP(AVERAGE(F90:H90),0)</f>
        <v>54764</v>
      </c>
      <c r="F90" s="945">
        <f>44250*1.19</f>
        <v>52657.5</v>
      </c>
      <c r="G90" s="945">
        <f>46462*1.19</f>
        <v>55289.78</v>
      </c>
      <c r="H90" s="945">
        <f>47348*1.19</f>
        <v>56344.119999999995</v>
      </c>
    </row>
    <row r="91" spans="1:8" s="391" customFormat="1">
      <c r="A91" s="392"/>
      <c r="B91" s="1159">
        <v>88</v>
      </c>
      <c r="C91" s="658" t="s">
        <v>274</v>
      </c>
      <c r="D91" s="661" t="s">
        <v>1175</v>
      </c>
      <c r="E91" s="662">
        <f t="shared" si="8"/>
        <v>54764</v>
      </c>
      <c r="F91" s="945">
        <f>44250*1.19</f>
        <v>52657.5</v>
      </c>
      <c r="G91" s="945">
        <f>46462*1.19</f>
        <v>55289.78</v>
      </c>
      <c r="H91" s="945">
        <f>47348*1.19</f>
        <v>56344.119999999995</v>
      </c>
    </row>
    <row r="92" spans="1:8" s="391" customFormat="1">
      <c r="A92" s="392"/>
      <c r="B92" s="1159">
        <v>89</v>
      </c>
      <c r="C92" s="658" t="s">
        <v>1201</v>
      </c>
      <c r="D92" s="661" t="s">
        <v>1175</v>
      </c>
      <c r="E92" s="662">
        <f t="shared" si="8"/>
        <v>56311</v>
      </c>
      <c r="F92" s="945">
        <f>45500*1.19</f>
        <v>54145</v>
      </c>
      <c r="G92" s="945">
        <f>47775*1.19</f>
        <v>56852.25</v>
      </c>
      <c r="H92" s="945">
        <f>48685*1.19</f>
        <v>57935.149999999994</v>
      </c>
    </row>
    <row r="93" spans="1:8" s="391" customFormat="1">
      <c r="A93" s="392"/>
      <c r="B93" s="1159">
        <v>90</v>
      </c>
      <c r="C93" s="658" t="s">
        <v>1200</v>
      </c>
      <c r="D93" s="661" t="s">
        <v>1175</v>
      </c>
      <c r="E93" s="662">
        <f t="shared" si="8"/>
        <v>56311</v>
      </c>
      <c r="F93" s="945">
        <f>45500*1.19</f>
        <v>54145</v>
      </c>
      <c r="G93" s="945">
        <f>47775*1.19</f>
        <v>56852.25</v>
      </c>
      <c r="H93" s="945">
        <f>48685*1.19</f>
        <v>57935.149999999994</v>
      </c>
    </row>
    <row r="94" spans="1:8" s="391" customFormat="1">
      <c r="A94" s="392"/>
      <c r="B94" s="1159">
        <v>91</v>
      </c>
      <c r="C94" s="658" t="s">
        <v>275</v>
      </c>
      <c r="D94" s="661" t="s">
        <v>1175</v>
      </c>
      <c r="E94" s="662">
        <f t="shared" si="8"/>
        <v>64974</v>
      </c>
      <c r="F94" s="945">
        <f>52500*1.19</f>
        <v>62475</v>
      </c>
      <c r="G94" s="945">
        <f>55125*1.19</f>
        <v>65598.75</v>
      </c>
      <c r="H94" s="945">
        <f>56175*1.19</f>
        <v>66848.25</v>
      </c>
    </row>
    <row r="95" spans="1:8" s="391" customFormat="1">
      <c r="A95" s="392"/>
      <c r="B95" s="1159">
        <v>92</v>
      </c>
      <c r="C95" s="658" t="s">
        <v>276</v>
      </c>
      <c r="D95" s="661" t="s">
        <v>1175</v>
      </c>
      <c r="E95" s="662">
        <f t="shared" si="8"/>
        <v>64974</v>
      </c>
      <c r="F95" s="945">
        <f>52500*1.19</f>
        <v>62475</v>
      </c>
      <c r="G95" s="945">
        <f>55125*1.19</f>
        <v>65598.75</v>
      </c>
      <c r="H95" s="945">
        <f>56175*1.19</f>
        <v>66848.25</v>
      </c>
    </row>
    <row r="96" spans="1:8" s="391" customFormat="1">
      <c r="A96" s="392"/>
      <c r="B96" s="1159">
        <v>93</v>
      </c>
      <c r="C96" s="650" t="s">
        <v>1688</v>
      </c>
      <c r="D96" s="652" t="s">
        <v>1175</v>
      </c>
      <c r="E96" s="662">
        <f>ROUNDUP(AVERAGE(F96:H96),0)</f>
        <v>56731</v>
      </c>
      <c r="F96" s="667">
        <v>62200</v>
      </c>
      <c r="G96" s="663">
        <f>44700*1.19</f>
        <v>53193</v>
      </c>
      <c r="H96" s="667">
        <v>54800</v>
      </c>
    </row>
    <row r="97" spans="1:8" s="391" customFormat="1">
      <c r="A97" s="392"/>
      <c r="B97" s="1159">
        <v>94</v>
      </c>
      <c r="C97" s="650" t="s">
        <v>1689</v>
      </c>
      <c r="D97" s="652" t="s">
        <v>1175</v>
      </c>
      <c r="E97" s="662">
        <f>ROUNDUP(AVERAGE(F97:H97),0)</f>
        <v>72255</v>
      </c>
      <c r="F97" s="667">
        <v>83000</v>
      </c>
      <c r="G97" s="663">
        <f>55600*1.19</f>
        <v>66164</v>
      </c>
      <c r="H97" s="667">
        <v>67600</v>
      </c>
    </row>
    <row r="98" spans="1:8" s="391" customFormat="1">
      <c r="A98" s="392"/>
      <c r="B98" s="1159">
        <v>95</v>
      </c>
      <c r="C98" s="659" t="s">
        <v>1690</v>
      </c>
      <c r="D98" s="652" t="s">
        <v>1175</v>
      </c>
      <c r="E98" s="662">
        <f>ROUNDUP(AVERAGE(F98:H98),0)</f>
        <v>111311</v>
      </c>
      <c r="F98" s="667">
        <v>134900</v>
      </c>
      <c r="G98" s="663">
        <f>82800*1.19</f>
        <v>98532</v>
      </c>
      <c r="H98" s="667">
        <v>100500</v>
      </c>
    </row>
    <row r="99" spans="1:8" s="391" customFormat="1">
      <c r="A99" s="392"/>
      <c r="B99" s="1159">
        <v>96</v>
      </c>
      <c r="C99" s="659" t="s">
        <v>1691</v>
      </c>
      <c r="D99" s="652" t="s">
        <v>1175</v>
      </c>
      <c r="E99" s="662">
        <f t="shared" ref="E99:E101" si="9">ROUNDUP(AVERAGE(F99:H99),0)</f>
        <v>269030</v>
      </c>
      <c r="F99" s="662">
        <v>227500</v>
      </c>
      <c r="G99" s="663">
        <f>241000*1.19</f>
        <v>286790</v>
      </c>
      <c r="H99" s="667">
        <v>292800</v>
      </c>
    </row>
    <row r="100" spans="1:8" s="391" customFormat="1">
      <c r="A100" s="392"/>
      <c r="B100" s="1159">
        <v>97</v>
      </c>
      <c r="C100" s="659" t="s">
        <v>1692</v>
      </c>
      <c r="D100" s="652" t="s">
        <v>1175</v>
      </c>
      <c r="E100" s="662">
        <f t="shared" si="9"/>
        <v>566682</v>
      </c>
      <c r="F100" s="662">
        <v>553000</v>
      </c>
      <c r="G100" s="663">
        <f>577600*1.19</f>
        <v>687344</v>
      </c>
      <c r="H100" s="667">
        <v>459700</v>
      </c>
    </row>
    <row r="101" spans="1:8" s="391" customFormat="1">
      <c r="A101" s="392"/>
      <c r="B101" s="1159">
        <v>98</v>
      </c>
      <c r="C101" s="659" t="s">
        <v>1693</v>
      </c>
      <c r="D101" s="652" t="s">
        <v>1175</v>
      </c>
      <c r="E101" s="662">
        <f t="shared" si="9"/>
        <v>1375934</v>
      </c>
      <c r="F101" s="662">
        <v>1250000</v>
      </c>
      <c r="G101" s="663">
        <f>1410000*1.19</f>
        <v>1677900</v>
      </c>
      <c r="H101" s="667">
        <v>1199900</v>
      </c>
    </row>
    <row r="102" spans="1:8" s="391" customFormat="1">
      <c r="A102" s="392"/>
      <c r="B102" s="1159">
        <v>99</v>
      </c>
      <c r="C102" s="659" t="s">
        <v>1664</v>
      </c>
      <c r="D102" s="652" t="s">
        <v>1175</v>
      </c>
      <c r="E102" s="662">
        <f t="shared" ref="E102:E107" si="10">ROUNDUP(AVERAGE(F102:H102),0)</f>
        <v>4573</v>
      </c>
      <c r="F102" s="663">
        <v>4700</v>
      </c>
      <c r="G102" s="663">
        <f>4300*1.19</f>
        <v>5117</v>
      </c>
      <c r="H102" s="1098">
        <v>3900</v>
      </c>
    </row>
    <row r="103" spans="1:8" s="391" customFormat="1">
      <c r="A103" s="392"/>
      <c r="B103" s="1159">
        <v>100</v>
      </c>
      <c r="C103" s="659" t="s">
        <v>1665</v>
      </c>
      <c r="D103" s="652" t="s">
        <v>1175</v>
      </c>
      <c r="E103" s="662">
        <f t="shared" si="10"/>
        <v>9135</v>
      </c>
      <c r="F103" s="663">
        <v>9500</v>
      </c>
      <c r="G103" s="663">
        <f>9500*1.19</f>
        <v>11305</v>
      </c>
      <c r="H103" s="1098">
        <v>6600</v>
      </c>
    </row>
    <row r="104" spans="1:8" s="391" customFormat="1">
      <c r="A104" s="392"/>
      <c r="B104" s="1159">
        <v>101</v>
      </c>
      <c r="C104" s="659" t="s">
        <v>1666</v>
      </c>
      <c r="D104" s="652" t="s">
        <v>1175</v>
      </c>
      <c r="E104" s="662">
        <f t="shared" si="10"/>
        <v>12701</v>
      </c>
      <c r="F104" s="663">
        <v>12400</v>
      </c>
      <c r="G104" s="663">
        <f>13700*1.19</f>
        <v>16303</v>
      </c>
      <c r="H104" s="1098">
        <v>9400</v>
      </c>
    </row>
    <row r="105" spans="1:8" s="391" customFormat="1">
      <c r="A105" s="392"/>
      <c r="B105" s="1159">
        <v>102</v>
      </c>
      <c r="C105" s="659" t="s">
        <v>1667</v>
      </c>
      <c r="D105" s="652" t="s">
        <v>1175</v>
      </c>
      <c r="E105" s="662">
        <f t="shared" si="10"/>
        <v>27797</v>
      </c>
      <c r="F105" s="663">
        <v>24900</v>
      </c>
      <c r="G105" s="663">
        <f>31000*1.19</f>
        <v>36890</v>
      </c>
      <c r="H105" s="1098">
        <v>21600</v>
      </c>
    </row>
    <row r="106" spans="1:8" s="391" customFormat="1">
      <c r="A106" s="392"/>
      <c r="B106" s="1159">
        <v>103</v>
      </c>
      <c r="C106" s="659" t="s">
        <v>1668</v>
      </c>
      <c r="D106" s="652" t="s">
        <v>1175</v>
      </c>
      <c r="E106" s="662">
        <f t="shared" si="10"/>
        <v>59117</v>
      </c>
      <c r="F106" s="663">
        <v>69000</v>
      </c>
      <c r="G106" s="663">
        <f>55000*1.19</f>
        <v>65450</v>
      </c>
      <c r="H106" s="1098">
        <v>42900</v>
      </c>
    </row>
    <row r="107" spans="1:8" s="391" customFormat="1">
      <c r="A107" s="392"/>
      <c r="B107" s="1159">
        <v>104</v>
      </c>
      <c r="C107" s="659" t="s">
        <v>1669</v>
      </c>
      <c r="D107" s="652" t="s">
        <v>1175</v>
      </c>
      <c r="E107" s="662">
        <f t="shared" si="10"/>
        <v>98470</v>
      </c>
      <c r="F107" s="663">
        <v>110900</v>
      </c>
      <c r="G107" s="663">
        <f>89000*1.19</f>
        <v>105910</v>
      </c>
      <c r="H107" s="1098">
        <v>78600</v>
      </c>
    </row>
    <row r="108" spans="1:8" s="391" customFormat="1">
      <c r="A108" s="392"/>
      <c r="B108" s="1159">
        <v>105</v>
      </c>
      <c r="C108" s="658" t="s">
        <v>1185</v>
      </c>
      <c r="D108" s="661" t="s">
        <v>1170</v>
      </c>
      <c r="E108" s="663">
        <f t="shared" ref="E108:E109" si="11">AVERAGE(F108:H108)</f>
        <v>2295.0925925925926</v>
      </c>
      <c r="F108" s="655">
        <f>206395/90</f>
        <v>2293.2777777777778</v>
      </c>
      <c r="G108" s="655">
        <v>2297</v>
      </c>
      <c r="H108" s="655">
        <v>2295</v>
      </c>
    </row>
    <row r="109" spans="1:8" s="391" customFormat="1">
      <c r="A109" s="392"/>
      <c r="B109" s="1159">
        <v>106</v>
      </c>
      <c r="C109" s="658" t="s">
        <v>1186</v>
      </c>
      <c r="D109" s="661" t="s">
        <v>1170</v>
      </c>
      <c r="E109" s="663">
        <f t="shared" si="11"/>
        <v>4512.3407407407403</v>
      </c>
      <c r="F109" s="655">
        <f>405902/90</f>
        <v>4510.0222222222219</v>
      </c>
      <c r="G109" s="655">
        <v>4514</v>
      </c>
      <c r="H109" s="655">
        <v>4513</v>
      </c>
    </row>
    <row r="110" spans="1:8" s="391" customFormat="1">
      <c r="A110" s="392"/>
      <c r="B110" s="1159">
        <v>107</v>
      </c>
      <c r="C110" s="658" t="s">
        <v>858</v>
      </c>
      <c r="D110" s="661" t="s">
        <v>1175</v>
      </c>
      <c r="E110" s="662">
        <f t="shared" ref="E110:E115" si="12">ROUNDUP(AVERAGE(F110:H110),0)</f>
        <v>18593</v>
      </c>
      <c r="F110" s="945">
        <f>15023*1.19</f>
        <v>17877.37</v>
      </c>
      <c r="G110" s="945">
        <f>15774*1.19</f>
        <v>18771.059999999998</v>
      </c>
      <c r="H110" s="945">
        <f>16075*1.19</f>
        <v>19129.25</v>
      </c>
    </row>
    <row r="111" spans="1:8" s="391" customFormat="1">
      <c r="A111" s="392"/>
      <c r="B111" s="1159">
        <v>108</v>
      </c>
      <c r="C111" s="658" t="s">
        <v>859</v>
      </c>
      <c r="D111" s="661" t="s">
        <v>1175</v>
      </c>
      <c r="E111" s="662">
        <f t="shared" si="12"/>
        <v>27769</v>
      </c>
      <c r="F111" s="945">
        <f>22437*1.19</f>
        <v>26700.03</v>
      </c>
      <c r="G111" s="945">
        <f>23559*1.19</f>
        <v>28035.21</v>
      </c>
      <c r="H111" s="945">
        <f>24008*1.19</f>
        <v>28569.52</v>
      </c>
    </row>
    <row r="112" spans="1:8" s="391" customFormat="1">
      <c r="A112" s="392"/>
      <c r="B112" s="1159">
        <v>109</v>
      </c>
      <c r="C112" s="658" t="s">
        <v>860</v>
      </c>
      <c r="D112" s="661" t="s">
        <v>1175</v>
      </c>
      <c r="E112" s="662">
        <f t="shared" si="12"/>
        <v>11407</v>
      </c>
      <c r="F112" s="945">
        <f>9217*1.19</f>
        <v>10968.23</v>
      </c>
      <c r="G112" s="945">
        <f>9678*1.19</f>
        <v>11516.82</v>
      </c>
      <c r="H112" s="945">
        <f>9862*1.19</f>
        <v>11735.779999999999</v>
      </c>
    </row>
    <row r="113" spans="1:8" s="391" customFormat="1">
      <c r="A113" s="392"/>
      <c r="B113" s="1159">
        <v>110</v>
      </c>
      <c r="C113" s="658" t="s">
        <v>861</v>
      </c>
      <c r="D113" s="661" t="s">
        <v>1175</v>
      </c>
      <c r="E113" s="662">
        <f t="shared" si="12"/>
        <v>47193</v>
      </c>
      <c r="F113" s="945">
        <f>38132*1.19</f>
        <v>45377.079999999994</v>
      </c>
      <c r="G113" s="945">
        <f>40039*1.19</f>
        <v>47646.409999999996</v>
      </c>
      <c r="H113" s="945">
        <f>40801*1.19</f>
        <v>48553.189999999995</v>
      </c>
    </row>
    <row r="114" spans="1:8" s="391" customFormat="1">
      <c r="A114" s="392"/>
      <c r="B114" s="1159">
        <v>111</v>
      </c>
      <c r="C114" s="659" t="s">
        <v>1183</v>
      </c>
      <c r="D114" s="653" t="s">
        <v>1175</v>
      </c>
      <c r="E114" s="662">
        <f t="shared" si="12"/>
        <v>4357</v>
      </c>
      <c r="F114" s="945">
        <f>3520*1.19</f>
        <v>4188.8</v>
      </c>
      <c r="G114" s="945">
        <f>3696*1.19</f>
        <v>4398.24</v>
      </c>
      <c r="H114" s="945">
        <f>3766*1.19</f>
        <v>4481.54</v>
      </c>
    </row>
    <row r="115" spans="1:8" s="391" customFormat="1">
      <c r="A115" s="392"/>
      <c r="B115" s="1159">
        <v>112</v>
      </c>
      <c r="C115" s="659" t="s">
        <v>1184</v>
      </c>
      <c r="D115" s="653" t="s">
        <v>1175</v>
      </c>
      <c r="E115" s="662">
        <f t="shared" si="12"/>
        <v>15415</v>
      </c>
      <c r="F115" s="945">
        <f>12455*1.19</f>
        <v>14821.449999999999</v>
      </c>
      <c r="G115" s="945">
        <f>13078*1.19</f>
        <v>15562.82</v>
      </c>
      <c r="H115" s="945">
        <f>13327*1.19</f>
        <v>15859.13</v>
      </c>
    </row>
    <row r="116" spans="1:8" s="391" customFormat="1" ht="27">
      <c r="A116" s="392"/>
      <c r="B116" s="1159">
        <v>113</v>
      </c>
      <c r="C116" s="658" t="s">
        <v>1538</v>
      </c>
      <c r="D116" s="653" t="s">
        <v>1175</v>
      </c>
      <c r="E116" s="1067">
        <f>AVERAGE(F116:H116)</f>
        <v>599776.06500000006</v>
      </c>
      <c r="F116" s="1067">
        <v>660482.13000000012</v>
      </c>
      <c r="G116" s="1067">
        <f>453000*1.19</f>
        <v>539070</v>
      </c>
      <c r="H116" s="920"/>
    </row>
    <row r="117" spans="1:8" s="391" customFormat="1" ht="27">
      <c r="A117" s="392"/>
      <c r="B117" s="1159">
        <v>114</v>
      </c>
      <c r="C117" s="658" t="s">
        <v>1540</v>
      </c>
      <c r="D117" s="653" t="s">
        <v>1175</v>
      </c>
      <c r="E117" s="1067">
        <f t="shared" ref="E117:E126" si="13">AVERAGE(F117:H117)</f>
        <v>865167.00000000012</v>
      </c>
      <c r="F117" s="1067">
        <v>950334.00000000023</v>
      </c>
      <c r="G117" s="1067">
        <v>780000</v>
      </c>
      <c r="H117" s="920"/>
    </row>
    <row r="118" spans="1:8" s="391" customFormat="1" ht="27">
      <c r="A118" s="392"/>
      <c r="B118" s="1159">
        <v>115</v>
      </c>
      <c r="C118" s="658" t="s">
        <v>1539</v>
      </c>
      <c r="D118" s="653" t="s">
        <v>1175</v>
      </c>
      <c r="E118" s="1067">
        <f t="shared" si="13"/>
        <v>1060793.9650000001</v>
      </c>
      <c r="F118" s="1067">
        <v>1167326.9300000002</v>
      </c>
      <c r="G118" s="1067">
        <f>801900*1.19</f>
        <v>954261</v>
      </c>
      <c r="H118" s="920"/>
    </row>
    <row r="119" spans="1:8" s="391" customFormat="1" ht="27">
      <c r="A119" s="392"/>
      <c r="B119" s="1159">
        <v>116</v>
      </c>
      <c r="C119" s="658" t="s">
        <v>1541</v>
      </c>
      <c r="D119" s="653" t="s">
        <v>1175</v>
      </c>
      <c r="E119" s="1067">
        <f t="shared" si="13"/>
        <v>2199576.96</v>
      </c>
      <c r="F119" s="1067">
        <v>2420183.9200000004</v>
      </c>
      <c r="G119" s="1067">
        <f>1663000*1.19</f>
        <v>1978970</v>
      </c>
      <c r="H119" s="920"/>
    </row>
    <row r="120" spans="1:8" s="391" customFormat="1" ht="27">
      <c r="A120" s="392"/>
      <c r="B120" s="1159">
        <v>117</v>
      </c>
      <c r="C120" s="658" t="s">
        <v>1542</v>
      </c>
      <c r="D120" s="653" t="s">
        <v>1175</v>
      </c>
      <c r="E120" s="1067">
        <f t="shared" si="13"/>
        <v>3279650.71</v>
      </c>
      <c r="F120" s="1067">
        <v>3608101.42</v>
      </c>
      <c r="G120" s="1067">
        <f>2480000*1.19</f>
        <v>2951200</v>
      </c>
      <c r="H120" s="920"/>
    </row>
    <row r="121" spans="1:8" s="391" customFormat="1" ht="27">
      <c r="A121" s="392"/>
      <c r="B121" s="1159">
        <v>118</v>
      </c>
      <c r="C121" s="658" t="s">
        <v>1543</v>
      </c>
      <c r="D121" s="653" t="s">
        <v>1175</v>
      </c>
      <c r="E121" s="1067">
        <f t="shared" si="13"/>
        <v>5439738.7100000009</v>
      </c>
      <c r="F121" s="1067">
        <v>5983936.4200000009</v>
      </c>
      <c r="G121" s="1067">
        <f>4113900*1.19</f>
        <v>4895541</v>
      </c>
      <c r="H121" s="920"/>
    </row>
    <row r="122" spans="1:8" s="391" customFormat="1" ht="27">
      <c r="A122" s="392"/>
      <c r="B122" s="1159">
        <v>119</v>
      </c>
      <c r="C122" s="658" t="s">
        <v>1544</v>
      </c>
      <c r="D122" s="653" t="s">
        <v>1175</v>
      </c>
      <c r="E122" s="1067">
        <f t="shared" si="13"/>
        <v>8365765.4500000011</v>
      </c>
      <c r="F122" s="1067">
        <v>9202400.9000000022</v>
      </c>
      <c r="G122" s="1067">
        <f>6327000*1.19</f>
        <v>7529130</v>
      </c>
      <c r="H122" s="920"/>
    </row>
    <row r="123" spans="1:8" s="391" customFormat="1" ht="27">
      <c r="A123" s="392"/>
      <c r="B123" s="1159">
        <v>120</v>
      </c>
      <c r="C123" s="658" t="s">
        <v>1545</v>
      </c>
      <c r="D123" s="653" t="s">
        <v>1175</v>
      </c>
      <c r="E123" s="1067">
        <f t="shared" si="13"/>
        <v>12723507.965</v>
      </c>
      <c r="F123" s="1067">
        <v>13996835.93</v>
      </c>
      <c r="G123" s="1067">
        <f>9622000*1.19</f>
        <v>11450180</v>
      </c>
      <c r="H123" s="920"/>
    </row>
    <row r="124" spans="1:8" s="391" customFormat="1" ht="27">
      <c r="A124" s="392"/>
      <c r="B124" s="1159">
        <v>121</v>
      </c>
      <c r="C124" s="658" t="s">
        <v>1546</v>
      </c>
      <c r="D124" s="653" t="s">
        <v>1175</v>
      </c>
      <c r="E124" s="1067">
        <f t="shared" si="13"/>
        <v>17946142.480000004</v>
      </c>
      <c r="F124" s="1067">
        <v>19741604.960000005</v>
      </c>
      <c r="G124" s="1067">
        <f>13572000*1.19</f>
        <v>16150680</v>
      </c>
      <c r="H124" s="920"/>
    </row>
    <row r="125" spans="1:8" s="391" customFormat="1" ht="27">
      <c r="A125" s="392"/>
      <c r="B125" s="1159">
        <v>122</v>
      </c>
      <c r="C125" s="658" t="s">
        <v>1547</v>
      </c>
      <c r="D125" s="653" t="s">
        <v>1175</v>
      </c>
      <c r="E125" s="1067">
        <f t="shared" si="13"/>
        <v>35842930.900000006</v>
      </c>
      <c r="F125" s="1067">
        <v>39427341.800000004</v>
      </c>
      <c r="G125" s="1067">
        <f>27108000*1.19</f>
        <v>32258520</v>
      </c>
      <c r="H125" s="920"/>
    </row>
    <row r="126" spans="1:8" s="391" customFormat="1" ht="27">
      <c r="A126" s="392"/>
      <c r="B126" s="1159">
        <v>123</v>
      </c>
      <c r="C126" s="658" t="s">
        <v>1548</v>
      </c>
      <c r="D126" s="653" t="s">
        <v>1175</v>
      </c>
      <c r="E126" s="1067">
        <f t="shared" si="13"/>
        <v>40251812.475000001</v>
      </c>
      <c r="F126" s="1067">
        <v>44277644.950000003</v>
      </c>
      <c r="G126" s="1067">
        <f>30442000*1.19</f>
        <v>36225980</v>
      </c>
      <c r="H126" s="920"/>
    </row>
    <row r="127" spans="1:8" s="391" customFormat="1">
      <c r="A127" s="392"/>
      <c r="B127" s="1159">
        <v>124</v>
      </c>
      <c r="C127" s="658" t="s">
        <v>928</v>
      </c>
      <c r="D127" s="661" t="s">
        <v>1175</v>
      </c>
      <c r="E127" s="1067">
        <f t="shared" ref="E127:E132" si="14">AVERAGE(F127:H127)</f>
        <v>842223.09499999997</v>
      </c>
      <c r="F127" s="663">
        <v>904401.19</v>
      </c>
      <c r="G127" s="1067">
        <f>655500*1.19</f>
        <v>780045</v>
      </c>
      <c r="H127" s="797"/>
    </row>
    <row r="128" spans="1:8" s="391" customFormat="1">
      <c r="A128" s="392"/>
      <c r="B128" s="1159">
        <v>125</v>
      </c>
      <c r="C128" s="658" t="s">
        <v>927</v>
      </c>
      <c r="D128" s="661" t="s">
        <v>1175</v>
      </c>
      <c r="E128" s="1067">
        <f t="shared" si="14"/>
        <v>901568.39500000002</v>
      </c>
      <c r="F128" s="663">
        <v>967756.79</v>
      </c>
      <c r="G128" s="1067">
        <f>702000*1.19</f>
        <v>835380</v>
      </c>
      <c r="H128" s="797"/>
    </row>
    <row r="129" spans="1:8" s="391" customFormat="1">
      <c r="A129" s="392"/>
      <c r="B129" s="1159">
        <v>126</v>
      </c>
      <c r="C129" s="658" t="s">
        <v>929</v>
      </c>
      <c r="D129" s="661" t="s">
        <v>1175</v>
      </c>
      <c r="E129" s="1067">
        <f t="shared" si="14"/>
        <v>993107.36</v>
      </c>
      <c r="F129" s="663">
        <v>1184749.72</v>
      </c>
      <c r="G129" s="1067">
        <f>673500*1.19</f>
        <v>801465</v>
      </c>
      <c r="H129" s="797"/>
    </row>
    <row r="130" spans="1:8" s="391" customFormat="1">
      <c r="A130" s="392"/>
      <c r="B130" s="1159">
        <v>127</v>
      </c>
      <c r="C130" s="658" t="s">
        <v>930</v>
      </c>
      <c r="D130" s="661" t="s">
        <v>1175</v>
      </c>
      <c r="E130" s="1067">
        <f t="shared" si="14"/>
        <v>1746862.88</v>
      </c>
      <c r="F130" s="663">
        <v>1875325.76</v>
      </c>
      <c r="G130" s="1067">
        <f>1360000*1.19</f>
        <v>1618400</v>
      </c>
      <c r="H130" s="797"/>
    </row>
    <row r="131" spans="1:8" s="391" customFormat="1">
      <c r="A131" s="392"/>
      <c r="B131" s="1159">
        <v>128</v>
      </c>
      <c r="C131" s="658" t="s">
        <v>931</v>
      </c>
      <c r="D131" s="661" t="s">
        <v>1175</v>
      </c>
      <c r="E131" s="1067">
        <f t="shared" si="14"/>
        <v>4551038.38</v>
      </c>
      <c r="F131" s="663">
        <v>4884716.76</v>
      </c>
      <c r="G131" s="1067">
        <f>3544000*1.19</f>
        <v>4217360</v>
      </c>
      <c r="H131" s="797"/>
    </row>
    <row r="132" spans="1:8" s="391" customFormat="1">
      <c r="A132" s="392"/>
      <c r="B132" s="1159">
        <v>129</v>
      </c>
      <c r="C132" s="658" t="s">
        <v>932</v>
      </c>
      <c r="D132" s="661" t="s">
        <v>1175</v>
      </c>
      <c r="E132" s="1067">
        <f t="shared" si="14"/>
        <v>7309838.585</v>
      </c>
      <c r="F132" s="663">
        <v>7845007.1699999999</v>
      </c>
      <c r="G132" s="1067">
        <f>5693000*1.19</f>
        <v>6774670</v>
      </c>
      <c r="H132" s="797"/>
    </row>
    <row r="133" spans="1:8">
      <c r="B133" s="697"/>
      <c r="C133" s="698" t="s">
        <v>1172</v>
      </c>
      <c r="D133" s="699"/>
      <c r="E133" s="700"/>
      <c r="F133" s="701" t="s">
        <v>923</v>
      </c>
      <c r="G133" s="701" t="s">
        <v>925</v>
      </c>
      <c r="H133" s="701" t="s">
        <v>1173</v>
      </c>
    </row>
    <row r="134" spans="1:8">
      <c r="B134" s="638">
        <v>130</v>
      </c>
      <c r="C134" s="650" t="s">
        <v>906</v>
      </c>
      <c r="D134" s="652" t="s">
        <v>1170</v>
      </c>
      <c r="E134" s="662">
        <f t="shared" ref="E134:E144" si="15">ROUNDUP(AVERAGE(F134:H134),0)</f>
        <v>10234</v>
      </c>
      <c r="F134" s="667">
        <f>61392/6</f>
        <v>10232</v>
      </c>
      <c r="G134" s="667">
        <f>61406/6</f>
        <v>10234.333333333334</v>
      </c>
      <c r="H134" s="667">
        <f>61397/6</f>
        <v>10232.833333333334</v>
      </c>
    </row>
    <row r="135" spans="1:8">
      <c r="B135" s="638">
        <v>131</v>
      </c>
      <c r="C135" s="650" t="s">
        <v>907</v>
      </c>
      <c r="D135" s="652" t="s">
        <v>1171</v>
      </c>
      <c r="E135" s="662">
        <f t="shared" si="15"/>
        <v>22397</v>
      </c>
      <c r="F135" s="667">
        <f>134360/6</f>
        <v>22393.333333333332</v>
      </c>
      <c r="G135" s="667">
        <f>134391/6</f>
        <v>22398.5</v>
      </c>
      <c r="H135" s="667">
        <f>134386/6</f>
        <v>22397.666666666668</v>
      </c>
    </row>
    <row r="136" spans="1:8">
      <c r="B136" s="638">
        <v>132</v>
      </c>
      <c r="C136" s="650" t="s">
        <v>908</v>
      </c>
      <c r="D136" s="652" t="s">
        <v>1171</v>
      </c>
      <c r="E136" s="662">
        <f t="shared" si="15"/>
        <v>36954</v>
      </c>
      <c r="F136" s="667">
        <f>221685/6</f>
        <v>36947.5</v>
      </c>
      <c r="G136" s="667">
        <f>221737/6</f>
        <v>36956.166666666664</v>
      </c>
      <c r="H136" s="667">
        <f>221738/6</f>
        <v>36956.333333333336</v>
      </c>
    </row>
    <row r="137" spans="1:8">
      <c r="B137" s="638">
        <v>133</v>
      </c>
      <c r="C137" s="650" t="s">
        <v>909</v>
      </c>
      <c r="D137" s="652" t="s">
        <v>1171</v>
      </c>
      <c r="E137" s="662">
        <f t="shared" si="15"/>
        <v>80688</v>
      </c>
      <c r="F137" s="667">
        <f>484048/6</f>
        <v>80674.666666666672</v>
      </c>
      <c r="G137" s="667">
        <f>484167/6</f>
        <v>80694.5</v>
      </c>
      <c r="H137" s="667">
        <f>484169/6</f>
        <v>80694.833333333328</v>
      </c>
    </row>
    <row r="138" spans="1:8">
      <c r="B138" s="638">
        <v>134</v>
      </c>
      <c r="C138" s="650" t="s">
        <v>910</v>
      </c>
      <c r="D138" s="652" t="s">
        <v>1171</v>
      </c>
      <c r="E138" s="662">
        <f t="shared" si="15"/>
        <v>136676</v>
      </c>
      <c r="F138" s="667">
        <f>819917/6</f>
        <v>136652.83333333334</v>
      </c>
      <c r="G138" s="667">
        <f>820122/6</f>
        <v>136687</v>
      </c>
      <c r="H138" s="667">
        <f>820119/6</f>
        <v>136686.5</v>
      </c>
    </row>
    <row r="139" spans="1:8">
      <c r="B139" s="638">
        <v>135</v>
      </c>
      <c r="C139" s="650" t="s">
        <v>911</v>
      </c>
      <c r="D139" s="652" t="s">
        <v>1171</v>
      </c>
      <c r="E139" s="662">
        <f t="shared" si="15"/>
        <v>215155</v>
      </c>
      <c r="F139" s="667">
        <f>1290717/6</f>
        <v>215119.5</v>
      </c>
      <c r="G139" s="667">
        <f>1291037/6</f>
        <v>215172.83333333334</v>
      </c>
      <c r="H139" s="667">
        <f>1291030/6</f>
        <v>215171.66666666666</v>
      </c>
    </row>
    <row r="140" spans="1:8">
      <c r="B140" s="638">
        <v>136</v>
      </c>
      <c r="C140" s="650" t="s">
        <v>912</v>
      </c>
      <c r="D140" s="652" t="s">
        <v>1171</v>
      </c>
      <c r="E140" s="662">
        <f t="shared" si="15"/>
        <v>301043</v>
      </c>
      <c r="F140" s="667">
        <f>1805957/6</f>
        <v>300992.83333333331</v>
      </c>
      <c r="G140" s="667">
        <f>1806408/6</f>
        <v>301068</v>
      </c>
      <c r="H140" s="667">
        <f>1806402/6</f>
        <v>301067</v>
      </c>
    </row>
    <row r="141" spans="1:8">
      <c r="B141" s="638">
        <v>137</v>
      </c>
      <c r="C141" s="650" t="s">
        <v>913</v>
      </c>
      <c r="D141" s="652" t="s">
        <v>1171</v>
      </c>
      <c r="E141" s="662">
        <f t="shared" si="15"/>
        <v>373331</v>
      </c>
      <c r="F141" s="667">
        <f>2239610/6</f>
        <v>373268.33333333331</v>
      </c>
      <c r="G141" s="667">
        <f>2240167/6</f>
        <v>373361.16666666669</v>
      </c>
      <c r="H141" s="667">
        <f>2240168/6</f>
        <v>373361.33333333331</v>
      </c>
    </row>
    <row r="142" spans="1:8">
      <c r="B142" s="638">
        <v>138</v>
      </c>
      <c r="C142" s="650" t="s">
        <v>914</v>
      </c>
      <c r="D142" s="652" t="s">
        <v>1171</v>
      </c>
      <c r="E142" s="662">
        <f t="shared" si="15"/>
        <v>490002</v>
      </c>
      <c r="F142" s="667">
        <f>2939519/6</f>
        <v>489919.83333333331</v>
      </c>
      <c r="G142" s="667">
        <f>2940252/6</f>
        <v>490042</v>
      </c>
      <c r="H142" s="667">
        <f>2940264/6</f>
        <v>490044</v>
      </c>
    </row>
    <row r="143" spans="1:8">
      <c r="B143" s="638">
        <v>139</v>
      </c>
      <c r="C143" s="650" t="s">
        <v>915</v>
      </c>
      <c r="D143" s="652" t="s">
        <v>1171</v>
      </c>
      <c r="E143" s="662">
        <f t="shared" si="15"/>
        <v>628909</v>
      </c>
      <c r="F143" s="667">
        <f>3772820/6</f>
        <v>628803.33333333337</v>
      </c>
      <c r="G143" s="667">
        <f>3773764/6</f>
        <v>628960.66666666663</v>
      </c>
      <c r="H143" s="667">
        <f>3773768/6</f>
        <v>628961.33333333337</v>
      </c>
    </row>
    <row r="144" spans="1:8">
      <c r="B144" s="638">
        <v>140</v>
      </c>
      <c r="C144" s="650" t="s">
        <v>916</v>
      </c>
      <c r="D144" s="652" t="s">
        <v>1171</v>
      </c>
      <c r="E144" s="662">
        <f t="shared" si="15"/>
        <v>783442</v>
      </c>
      <c r="F144" s="667">
        <f>4700652/6</f>
        <v>783442</v>
      </c>
      <c r="G144" s="667">
        <f>4700652/6</f>
        <v>783442</v>
      </c>
      <c r="H144" s="667">
        <f>4700648/6</f>
        <v>783441.33333333337</v>
      </c>
    </row>
    <row r="145" spans="2:8">
      <c r="B145" s="702"/>
      <c r="C145" s="698" t="s">
        <v>1174</v>
      </c>
      <c r="D145" s="699"/>
      <c r="E145" s="700"/>
      <c r="F145" s="701" t="s">
        <v>923</v>
      </c>
      <c r="G145" s="701" t="s">
        <v>925</v>
      </c>
      <c r="H145" s="701" t="s">
        <v>1173</v>
      </c>
    </row>
    <row r="146" spans="2:8">
      <c r="B146" s="638">
        <v>141</v>
      </c>
      <c r="C146" s="650" t="s">
        <v>906</v>
      </c>
      <c r="D146" s="652" t="s">
        <v>1171</v>
      </c>
      <c r="E146" s="662">
        <f t="shared" ref="E146:E156" si="16">ROUNDUP(AVERAGE(F146:H146),0)</f>
        <v>8491</v>
      </c>
      <c r="F146" s="667">
        <f>50938/6</f>
        <v>8489.6666666666661</v>
      </c>
      <c r="G146" s="667">
        <f>50949/6</f>
        <v>8491.5</v>
      </c>
      <c r="H146" s="667">
        <f>50945/6</f>
        <v>8490.8333333333339</v>
      </c>
    </row>
    <row r="147" spans="2:8">
      <c r="B147" s="638">
        <v>142</v>
      </c>
      <c r="C147" s="650" t="s">
        <v>907</v>
      </c>
      <c r="D147" s="652" t="s">
        <v>1171</v>
      </c>
      <c r="E147" s="662">
        <f t="shared" si="16"/>
        <v>18679</v>
      </c>
      <c r="F147" s="667">
        <f>112055/6</f>
        <v>18675.833333333332</v>
      </c>
      <c r="G147" s="667">
        <f>112081/6</f>
        <v>18680.166666666668</v>
      </c>
      <c r="H147" s="667">
        <f>112081/6</f>
        <v>18680.166666666668</v>
      </c>
    </row>
    <row r="148" spans="2:8">
      <c r="B148" s="638">
        <v>143</v>
      </c>
      <c r="C148" s="650" t="s">
        <v>908</v>
      </c>
      <c r="D148" s="652" t="s">
        <v>1171</v>
      </c>
      <c r="E148" s="662">
        <f t="shared" si="16"/>
        <v>30851</v>
      </c>
      <c r="F148" s="667">
        <f>185072/6</f>
        <v>30845.333333333332</v>
      </c>
      <c r="G148" s="667">
        <f>185116/6</f>
        <v>30852.666666666668</v>
      </c>
      <c r="H148" s="667">
        <f>185116/6</f>
        <v>30852.666666666668</v>
      </c>
    </row>
    <row r="149" spans="2:8">
      <c r="B149" s="638">
        <v>144</v>
      </c>
      <c r="C149" s="650" t="s">
        <v>909</v>
      </c>
      <c r="D149" s="652" t="s">
        <v>1171</v>
      </c>
      <c r="E149" s="662">
        <f t="shared" si="16"/>
        <v>66087</v>
      </c>
      <c r="F149" s="667">
        <f>396457/6</f>
        <v>66076.166666666672</v>
      </c>
      <c r="G149" s="667">
        <f>396554/6</f>
        <v>66092.333333333328</v>
      </c>
      <c r="H149" s="667">
        <f>396544/6</f>
        <v>66090.666666666672</v>
      </c>
    </row>
    <row r="150" spans="2:8">
      <c r="B150" s="638">
        <v>145</v>
      </c>
      <c r="C150" s="650" t="s">
        <v>910</v>
      </c>
      <c r="D150" s="652" t="s">
        <v>1171</v>
      </c>
      <c r="E150" s="662">
        <f t="shared" si="16"/>
        <v>112428</v>
      </c>
      <c r="F150" s="667">
        <f>674454/6</f>
        <v>112409</v>
      </c>
      <c r="G150" s="667">
        <f>674622/6</f>
        <v>112437</v>
      </c>
      <c r="H150" s="667">
        <f>674615/6</f>
        <v>112435.83333333333</v>
      </c>
    </row>
    <row r="151" spans="2:8">
      <c r="B151" s="638">
        <v>146</v>
      </c>
      <c r="C151" s="650" t="s">
        <v>911</v>
      </c>
      <c r="D151" s="652" t="s">
        <v>1171</v>
      </c>
      <c r="E151" s="662">
        <f t="shared" si="16"/>
        <v>174996</v>
      </c>
      <c r="F151" s="667">
        <f>1049803/6</f>
        <v>174967.16666666666</v>
      </c>
      <c r="G151" s="667">
        <f>1050063/6</f>
        <v>175010.5</v>
      </c>
      <c r="H151" s="667">
        <f>1050054/6</f>
        <v>175009</v>
      </c>
    </row>
    <row r="152" spans="2:8">
      <c r="B152" s="638">
        <v>147</v>
      </c>
      <c r="C152" s="650" t="s">
        <v>912</v>
      </c>
      <c r="D152" s="652" t="s">
        <v>1171</v>
      </c>
      <c r="E152" s="662">
        <f t="shared" si="16"/>
        <v>246685</v>
      </c>
      <c r="F152" s="667">
        <f>1479860/6</f>
        <v>246643.33333333334</v>
      </c>
      <c r="G152" s="667">
        <f>1480228/6</f>
        <v>246704.66666666666</v>
      </c>
      <c r="H152" s="667">
        <f>1480225/6</f>
        <v>246704.16666666666</v>
      </c>
    </row>
    <row r="153" spans="2:8">
      <c r="B153" s="638">
        <v>148</v>
      </c>
      <c r="C153" s="650" t="s">
        <v>913</v>
      </c>
      <c r="D153" s="652" t="s">
        <v>1171</v>
      </c>
      <c r="E153" s="662">
        <f t="shared" si="16"/>
        <v>306938</v>
      </c>
      <c r="F153" s="667">
        <f>1841319/6</f>
        <v>306886.5</v>
      </c>
      <c r="G153" s="667">
        <f>1841778/6</f>
        <v>306963</v>
      </c>
      <c r="H153" s="667">
        <f>1841777/6</f>
        <v>306962.83333333331</v>
      </c>
    </row>
    <row r="154" spans="2:8">
      <c r="B154" s="638">
        <v>149</v>
      </c>
      <c r="C154" s="650" t="s">
        <v>914</v>
      </c>
      <c r="D154" s="652" t="s">
        <v>1171</v>
      </c>
      <c r="E154" s="662">
        <f t="shared" si="16"/>
        <v>407242</v>
      </c>
      <c r="F154" s="667">
        <f>2443043/6</f>
        <v>407173.83333333331</v>
      </c>
      <c r="G154" s="667">
        <f>2443652/6</f>
        <v>407275.33333333331</v>
      </c>
      <c r="H154" s="667">
        <f>2443644/6</f>
        <v>407274</v>
      </c>
    </row>
    <row r="155" spans="2:8">
      <c r="B155" s="638">
        <v>150</v>
      </c>
      <c r="C155" s="650" t="s">
        <v>915</v>
      </c>
      <c r="D155" s="652" t="s">
        <v>1171</v>
      </c>
      <c r="E155" s="662">
        <f t="shared" si="16"/>
        <v>522000</v>
      </c>
      <c r="F155" s="667">
        <f>3131474/6</f>
        <v>521912.33333333331</v>
      </c>
      <c r="G155" s="667">
        <f>3132255/6</f>
        <v>522042.5</v>
      </c>
      <c r="H155" s="667">
        <f>3132263/6</f>
        <v>522043.83333333331</v>
      </c>
    </row>
    <row r="156" spans="2:8">
      <c r="B156" s="638">
        <v>151</v>
      </c>
      <c r="C156" s="650" t="s">
        <v>916</v>
      </c>
      <c r="D156" s="652" t="s">
        <v>1171</v>
      </c>
      <c r="E156" s="662">
        <f t="shared" si="16"/>
        <v>672553</v>
      </c>
      <c r="F156" s="667">
        <f>4034643/6</f>
        <v>672440.5</v>
      </c>
      <c r="G156" s="667">
        <f>4035652/6</f>
        <v>672608.66666666663</v>
      </c>
      <c r="H156" s="667">
        <f>4035644/6</f>
        <v>672607.33333333337</v>
      </c>
    </row>
    <row r="157" spans="2:8">
      <c r="B157" s="702"/>
      <c r="C157" s="1085" t="s">
        <v>29</v>
      </c>
      <c r="D157" s="1086"/>
      <c r="E157" s="1087"/>
      <c r="F157" s="1086"/>
      <c r="G157" s="1086"/>
      <c r="H157" s="1086"/>
    </row>
    <row r="158" spans="2:8">
      <c r="B158" s="399">
        <v>152</v>
      </c>
      <c r="C158" s="657" t="s">
        <v>935</v>
      </c>
      <c r="D158" s="661" t="s">
        <v>1175</v>
      </c>
      <c r="E158" s="662">
        <f>ROUNDUP(AVERAGE(F158:H158),0)</f>
        <v>535500</v>
      </c>
      <c r="F158" s="666">
        <f>455000*1.19</f>
        <v>541450</v>
      </c>
      <c r="G158" s="655">
        <f>460000*1.19</f>
        <v>547400</v>
      </c>
      <c r="H158" s="655">
        <f>435000*1.19</f>
        <v>517650</v>
      </c>
    </row>
    <row r="159" spans="2:8">
      <c r="B159" s="399">
        <v>153</v>
      </c>
      <c r="C159" s="657" t="s">
        <v>1362</v>
      </c>
      <c r="D159" s="661" t="s">
        <v>1175</v>
      </c>
      <c r="E159" s="662">
        <f>ROUNDUP(AVERAGE(F159:H159),0)</f>
        <v>385362</v>
      </c>
      <c r="F159" s="666">
        <f>331500*1.19</f>
        <v>394485</v>
      </c>
      <c r="G159" s="655">
        <f>350000*1.19</f>
        <v>416500</v>
      </c>
      <c r="H159" s="655">
        <f>290000*1.19</f>
        <v>345100</v>
      </c>
    </row>
    <row r="160" spans="2:8">
      <c r="B160" s="399">
        <v>154</v>
      </c>
      <c r="C160" s="657" t="s">
        <v>936</v>
      </c>
      <c r="D160" s="661" t="s">
        <v>1175</v>
      </c>
      <c r="E160" s="662">
        <f>ROUNDUP(AVERAGE(F160:H160),0)</f>
        <v>308726</v>
      </c>
      <c r="F160" s="666">
        <f>258300*1.19</f>
        <v>307377</v>
      </c>
      <c r="G160" s="655">
        <f>280000*1.19</f>
        <v>333200</v>
      </c>
      <c r="H160" s="655">
        <f>240000*1.19</f>
        <v>285600</v>
      </c>
    </row>
    <row r="161" spans="1:8">
      <c r="B161" s="399">
        <v>155</v>
      </c>
      <c r="C161" s="657" t="s">
        <v>1639</v>
      </c>
      <c r="D161" s="661" t="s">
        <v>1175</v>
      </c>
      <c r="E161" s="662">
        <f>ROUNDUP(AVERAGE(F161:H161),0)</f>
        <v>456167</v>
      </c>
      <c r="F161" s="666">
        <f>390000*1.19</f>
        <v>464100</v>
      </c>
      <c r="G161" s="655">
        <f>380000*1.19</f>
        <v>452200</v>
      </c>
      <c r="H161" s="655">
        <f>380000*1.19</f>
        <v>452200</v>
      </c>
    </row>
    <row r="162" spans="1:8" ht="26.4">
      <c r="B162" s="702"/>
      <c r="C162" s="982" t="s">
        <v>871</v>
      </c>
      <c r="D162" s="983"/>
      <c r="E162" s="984"/>
      <c r="F162" s="980" t="s">
        <v>917</v>
      </c>
      <c r="G162" s="981" t="s">
        <v>918</v>
      </c>
      <c r="H162" s="709"/>
    </row>
    <row r="163" spans="1:8">
      <c r="B163" s="638">
        <v>156</v>
      </c>
      <c r="C163" s="657" t="s">
        <v>891</v>
      </c>
      <c r="D163" s="661" t="s">
        <v>1171</v>
      </c>
      <c r="E163" s="655">
        <f>AVERAGE(F163:H163)</f>
        <v>34475.1</v>
      </c>
      <c r="F163" s="666">
        <f>(36100*1.19)/1.25</f>
        <v>34367.199999999997</v>
      </c>
      <c r="G163" s="655">
        <v>34583</v>
      </c>
      <c r="H163" s="655"/>
    </row>
    <row r="164" spans="1:8">
      <c r="B164" s="638">
        <v>157</v>
      </c>
      <c r="C164" s="657" t="s">
        <v>892</v>
      </c>
      <c r="D164" s="661" t="s">
        <v>1171</v>
      </c>
      <c r="E164" s="655">
        <f t="shared" ref="E164:E171" si="17">AVERAGE(F164:H164)</f>
        <v>57702.5</v>
      </c>
      <c r="F164" s="666">
        <f>(61000*1.19)/1.25</f>
        <v>58072</v>
      </c>
      <c r="G164" s="655">
        <v>57333</v>
      </c>
      <c r="H164" s="655"/>
    </row>
    <row r="165" spans="1:8">
      <c r="B165" s="638">
        <v>158</v>
      </c>
      <c r="C165" s="657" t="s">
        <v>893</v>
      </c>
      <c r="D165" s="661" t="s">
        <v>1171</v>
      </c>
      <c r="E165" s="655">
        <f t="shared" si="17"/>
        <v>74681.7</v>
      </c>
      <c r="F165" s="666">
        <f>(78200*1.19)/1.25</f>
        <v>74446.399999999994</v>
      </c>
      <c r="G165" s="655">
        <v>74917</v>
      </c>
      <c r="H165" s="655"/>
    </row>
    <row r="166" spans="1:8">
      <c r="B166" s="638">
        <v>159</v>
      </c>
      <c r="C166" s="657" t="s">
        <v>894</v>
      </c>
      <c r="D166" s="661" t="s">
        <v>1171</v>
      </c>
      <c r="E166" s="655">
        <f t="shared" si="17"/>
        <v>94695.5</v>
      </c>
      <c r="F166" s="666">
        <f>(99500*1.19)/1.25</f>
        <v>94724</v>
      </c>
      <c r="G166" s="655">
        <v>94667</v>
      </c>
      <c r="H166" s="655"/>
    </row>
    <row r="167" spans="1:8">
      <c r="B167" s="638">
        <v>160</v>
      </c>
      <c r="C167" s="657" t="s">
        <v>895</v>
      </c>
      <c r="D167" s="661" t="s">
        <v>1171</v>
      </c>
      <c r="E167" s="655">
        <f t="shared" si="17"/>
        <v>125903.5</v>
      </c>
      <c r="F167" s="666">
        <f>(132500*1.19)/1.25</f>
        <v>126140</v>
      </c>
      <c r="G167" s="655">
        <v>125667</v>
      </c>
      <c r="H167" s="655"/>
    </row>
    <row r="168" spans="1:8">
      <c r="B168" s="638">
        <v>161</v>
      </c>
      <c r="C168" s="657" t="s">
        <v>896</v>
      </c>
      <c r="D168" s="661" t="s">
        <v>1171</v>
      </c>
      <c r="E168" s="655">
        <f t="shared" si="17"/>
        <v>164062.39999999999</v>
      </c>
      <c r="F168" s="666">
        <f>(172400*1.19)/1.25</f>
        <v>164124.79999999999</v>
      </c>
      <c r="G168" s="655">
        <v>164000</v>
      </c>
      <c r="H168" s="655"/>
    </row>
    <row r="169" spans="1:8">
      <c r="B169" s="638">
        <v>162</v>
      </c>
      <c r="C169" s="657" t="s">
        <v>897</v>
      </c>
      <c r="D169" s="661" t="s">
        <v>1171</v>
      </c>
      <c r="E169" s="655">
        <f t="shared" si="17"/>
        <v>221390.7</v>
      </c>
      <c r="F169" s="666">
        <f>(232200*1.19)/1.25</f>
        <v>221054.4</v>
      </c>
      <c r="G169" s="655">
        <v>221727</v>
      </c>
      <c r="H169" s="655"/>
    </row>
    <row r="170" spans="1:8">
      <c r="B170" s="638">
        <v>163</v>
      </c>
      <c r="C170" s="657" t="s">
        <v>898</v>
      </c>
      <c r="D170" s="661" t="s">
        <v>1171</v>
      </c>
      <c r="E170" s="655">
        <f t="shared" si="17"/>
        <v>265054.3</v>
      </c>
      <c r="F170" s="666">
        <f>(278300*1.19)/1.25</f>
        <v>264941.59999999998</v>
      </c>
      <c r="G170" s="655">
        <v>265167</v>
      </c>
      <c r="H170" s="655"/>
    </row>
    <row r="171" spans="1:8" s="391" customFormat="1">
      <c r="A171" s="392"/>
      <c r="B171" s="638">
        <v>164</v>
      </c>
      <c r="C171" s="657" t="s">
        <v>899</v>
      </c>
      <c r="D171" s="661" t="s">
        <v>1171</v>
      </c>
      <c r="E171" s="655">
        <f t="shared" si="17"/>
        <v>379804.8</v>
      </c>
      <c r="F171" s="666">
        <f>(399800*1.19)/1.25</f>
        <v>380609.6</v>
      </c>
      <c r="G171" s="655">
        <v>379000</v>
      </c>
      <c r="H171" s="655"/>
    </row>
    <row r="172" spans="1:8" ht="15" customHeight="1">
      <c r="B172" s="702"/>
      <c r="C172" s="982" t="s">
        <v>872</v>
      </c>
      <c r="D172" s="705"/>
      <c r="E172" s="709"/>
      <c r="F172" s="980" t="s">
        <v>917</v>
      </c>
      <c r="G172" s="981" t="s">
        <v>918</v>
      </c>
      <c r="H172" s="709"/>
    </row>
    <row r="173" spans="1:8">
      <c r="B173" s="638">
        <v>165</v>
      </c>
      <c r="C173" s="657" t="s">
        <v>899</v>
      </c>
      <c r="D173" s="661" t="s">
        <v>1171</v>
      </c>
      <c r="E173" s="655">
        <f t="shared" ref="E173:E180" si="18">AVERAGE(F173:G173)</f>
        <v>430743.4</v>
      </c>
      <c r="F173" s="666">
        <f>(819300*1.19)/2.5</f>
        <v>389986.8</v>
      </c>
      <c r="G173" s="655">
        <v>471500</v>
      </c>
      <c r="H173" s="655"/>
    </row>
    <row r="174" spans="1:8">
      <c r="B174" s="638">
        <v>166</v>
      </c>
      <c r="C174" s="657" t="s">
        <v>900</v>
      </c>
      <c r="D174" s="661" t="s">
        <v>1171</v>
      </c>
      <c r="E174" s="655">
        <f t="shared" si="18"/>
        <v>489566</v>
      </c>
      <c r="F174" s="666">
        <f>(1028500*1.19)/2.5</f>
        <v>489566</v>
      </c>
      <c r="G174" s="668"/>
      <c r="H174" s="665"/>
    </row>
    <row r="175" spans="1:8">
      <c r="B175" s="638">
        <v>167</v>
      </c>
      <c r="C175" s="657" t="s">
        <v>901</v>
      </c>
      <c r="D175" s="661" t="s">
        <v>1171</v>
      </c>
      <c r="E175" s="655">
        <f t="shared" si="18"/>
        <v>500000</v>
      </c>
      <c r="F175" s="666"/>
      <c r="G175" s="655">
        <v>500000</v>
      </c>
      <c r="H175" s="665"/>
    </row>
    <row r="176" spans="1:8">
      <c r="B176" s="638">
        <v>168</v>
      </c>
      <c r="C176" s="657" t="s">
        <v>919</v>
      </c>
      <c r="D176" s="661" t="s">
        <v>1171</v>
      </c>
      <c r="E176" s="655">
        <f t="shared" si="18"/>
        <v>611231.6</v>
      </c>
      <c r="F176" s="666">
        <f>(1284100*1.19)/2.5</f>
        <v>611231.6</v>
      </c>
      <c r="G176" s="655"/>
      <c r="H176" s="655"/>
    </row>
    <row r="177" spans="2:8">
      <c r="B177" s="638">
        <v>169</v>
      </c>
      <c r="C177" s="657" t="s">
        <v>873</v>
      </c>
      <c r="D177" s="661" t="s">
        <v>1171</v>
      </c>
      <c r="E177" s="655">
        <f t="shared" si="18"/>
        <v>766728.9</v>
      </c>
      <c r="F177" s="666">
        <f>(1610800*1.19)/2.5</f>
        <v>766740.8</v>
      </c>
      <c r="G177" s="655">
        <v>766717</v>
      </c>
      <c r="H177" s="655"/>
    </row>
    <row r="178" spans="2:8">
      <c r="B178" s="638">
        <v>170</v>
      </c>
      <c r="C178" s="657" t="s">
        <v>874</v>
      </c>
      <c r="D178" s="661" t="s">
        <v>1171</v>
      </c>
      <c r="E178" s="655">
        <f t="shared" si="18"/>
        <v>937862.8</v>
      </c>
      <c r="F178" s="666">
        <f>(2015600*1.19)/2.5</f>
        <v>959425.6</v>
      </c>
      <c r="G178" s="655">
        <v>916300</v>
      </c>
      <c r="H178" s="655"/>
    </row>
    <row r="179" spans="2:8">
      <c r="B179" s="638">
        <v>171</v>
      </c>
      <c r="C179" s="657" t="s">
        <v>875</v>
      </c>
      <c r="D179" s="661" t="s">
        <v>1171</v>
      </c>
      <c r="E179" s="655">
        <f t="shared" si="18"/>
        <v>1074474.8</v>
      </c>
      <c r="F179" s="666">
        <f>(2257300*1.19)/2.5</f>
        <v>1074474.8</v>
      </c>
      <c r="G179" s="655"/>
      <c r="H179" s="655"/>
    </row>
    <row r="180" spans="2:8">
      <c r="B180" s="638">
        <v>172</v>
      </c>
      <c r="C180" s="657" t="s">
        <v>876</v>
      </c>
      <c r="D180" s="661" t="s">
        <v>1171</v>
      </c>
      <c r="E180" s="655">
        <f t="shared" si="18"/>
        <v>1259400.8</v>
      </c>
      <c r="F180" s="666">
        <f>(2645800*1.19)/2.5</f>
        <v>1259400.8</v>
      </c>
      <c r="G180" s="655"/>
      <c r="H180" s="655"/>
    </row>
    <row r="181" spans="2:8">
      <c r="B181" s="702"/>
      <c r="C181" s="982" t="s">
        <v>945</v>
      </c>
      <c r="D181" s="1160"/>
      <c r="E181" s="984"/>
      <c r="F181" s="980" t="s">
        <v>923</v>
      </c>
      <c r="G181" s="1161" t="s">
        <v>925</v>
      </c>
      <c r="H181" s="709"/>
    </row>
    <row r="182" spans="2:8">
      <c r="B182" s="638">
        <v>173</v>
      </c>
      <c r="C182" s="657" t="s">
        <v>937</v>
      </c>
      <c r="D182" s="661" t="s">
        <v>1171</v>
      </c>
      <c r="E182" s="655">
        <f t="shared" ref="E182:E194" si="19">AVERAGE(F182:H182)</f>
        <v>31810.722222222223</v>
      </c>
      <c r="F182" s="707">
        <f>190837/6</f>
        <v>31806.166666666668</v>
      </c>
      <c r="G182" s="707">
        <f>190872/6</f>
        <v>31812</v>
      </c>
      <c r="H182" s="707">
        <f>190884/6</f>
        <v>31814</v>
      </c>
    </row>
    <row r="183" spans="2:8">
      <c r="B183" s="638">
        <v>174</v>
      </c>
      <c r="C183" s="657" t="s">
        <v>938</v>
      </c>
      <c r="D183" s="661" t="s">
        <v>1171</v>
      </c>
      <c r="E183" s="655">
        <f t="shared" si="19"/>
        <v>43400.277777777781</v>
      </c>
      <c r="F183" s="707">
        <f>259856/6</f>
        <v>43309.333333333336</v>
      </c>
      <c r="G183" s="707">
        <f>260672/6</f>
        <v>43445.333333333336</v>
      </c>
      <c r="H183" s="707">
        <f>260677/6</f>
        <v>43446.166666666664</v>
      </c>
    </row>
    <row r="184" spans="2:8">
      <c r="B184" s="638">
        <v>175</v>
      </c>
      <c r="C184" s="657" t="s">
        <v>939</v>
      </c>
      <c r="D184" s="661" t="s">
        <v>1171</v>
      </c>
      <c r="E184" s="655">
        <f t="shared" si="19"/>
        <v>63450.333333333336</v>
      </c>
      <c r="F184" s="707">
        <f>380650/6</f>
        <v>63441.666666666664</v>
      </c>
      <c r="G184" s="707">
        <f>380725/6</f>
        <v>63454.166666666664</v>
      </c>
      <c r="H184" s="707">
        <f>380731/6</f>
        <v>63455.166666666664</v>
      </c>
    </row>
    <row r="185" spans="2:8">
      <c r="B185" s="638">
        <v>176</v>
      </c>
      <c r="C185" s="657" t="s">
        <v>940</v>
      </c>
      <c r="D185" s="661" t="s">
        <v>1171</v>
      </c>
      <c r="E185" s="655">
        <f t="shared" si="19"/>
        <v>93813.333333333328</v>
      </c>
      <c r="F185" s="707">
        <f>562807/6</f>
        <v>93801.166666666672</v>
      </c>
      <c r="G185" s="707">
        <f>562916/6</f>
        <v>93819.333333333328</v>
      </c>
      <c r="H185" s="707">
        <f>562917/6</f>
        <v>93819.5</v>
      </c>
    </row>
    <row r="186" spans="2:8">
      <c r="B186" s="638">
        <v>177</v>
      </c>
      <c r="C186" s="657" t="s">
        <v>942</v>
      </c>
      <c r="D186" s="661" t="s">
        <v>1171</v>
      </c>
      <c r="E186" s="655">
        <f t="shared" si="19"/>
        <v>134349.44444444447</v>
      </c>
      <c r="F186" s="707">
        <f>805072/6</f>
        <v>134178.66666666666</v>
      </c>
      <c r="G186" s="707">
        <f>806606/6</f>
        <v>134434.33333333334</v>
      </c>
      <c r="H186" s="707">
        <f>806612/6</f>
        <v>134435.33333333334</v>
      </c>
    </row>
    <row r="187" spans="2:8">
      <c r="B187" s="638">
        <v>178</v>
      </c>
      <c r="C187" s="657" t="s">
        <v>943</v>
      </c>
      <c r="D187" s="661" t="s">
        <v>1171</v>
      </c>
      <c r="E187" s="655">
        <f t="shared" si="19"/>
        <v>164416.83333333334</v>
      </c>
      <c r="F187" s="707">
        <f>986371/6</f>
        <v>164395.16666666666</v>
      </c>
      <c r="G187" s="707">
        <f>986566/6</f>
        <v>164427.66666666666</v>
      </c>
      <c r="H187" s="707">
        <f>986566/6</f>
        <v>164427.66666666666</v>
      </c>
    </row>
    <row r="188" spans="2:8">
      <c r="B188" s="638">
        <v>179</v>
      </c>
      <c r="C188" s="657" t="s">
        <v>944</v>
      </c>
      <c r="D188" s="661" t="s">
        <v>1171</v>
      </c>
      <c r="E188" s="655">
        <f t="shared" si="19"/>
        <v>212344.38888888891</v>
      </c>
      <c r="F188" s="707">
        <f>1273896/6</f>
        <v>212316</v>
      </c>
      <c r="G188" s="707">
        <f>1274150/6</f>
        <v>212358.33333333334</v>
      </c>
      <c r="H188" s="707">
        <f>1274153/6</f>
        <v>212358.83333333334</v>
      </c>
    </row>
    <row r="189" spans="2:8">
      <c r="B189" s="638">
        <v>180</v>
      </c>
      <c r="C189" s="657" t="s">
        <v>941</v>
      </c>
      <c r="D189" s="661" t="s">
        <v>1171</v>
      </c>
      <c r="E189" s="655">
        <f t="shared" si="19"/>
        <v>276834.22222222219</v>
      </c>
      <c r="F189" s="707">
        <f>1660784/6</f>
        <v>276797.33333333331</v>
      </c>
      <c r="G189" s="707">
        <f>1661115/6</f>
        <v>276852.5</v>
      </c>
      <c r="H189" s="707">
        <f>1661117/6</f>
        <v>276852.83333333331</v>
      </c>
    </row>
    <row r="190" spans="2:8">
      <c r="B190" s="638">
        <v>181</v>
      </c>
      <c r="C190" s="657" t="s">
        <v>877</v>
      </c>
      <c r="D190" s="661" t="s">
        <v>1171</v>
      </c>
      <c r="E190" s="655">
        <f t="shared" si="19"/>
        <v>393113.84615384619</v>
      </c>
      <c r="F190" s="666">
        <f>2554900/6.5</f>
        <v>393061.53846153844</v>
      </c>
      <c r="G190" s="655">
        <f>2555408/6.5</f>
        <v>393139.69230769231</v>
      </c>
      <c r="H190" s="655">
        <f>2555412/6.5</f>
        <v>393140.30769230769</v>
      </c>
    </row>
    <row r="191" spans="2:8">
      <c r="B191" s="638">
        <v>182</v>
      </c>
      <c r="C191" s="657" t="s">
        <v>878</v>
      </c>
      <c r="D191" s="661" t="s">
        <v>1171</v>
      </c>
      <c r="E191" s="655">
        <f t="shared" si="19"/>
        <v>450863.84615384619</v>
      </c>
      <c r="F191" s="666">
        <f>2929396/6.5</f>
        <v>450676.30769230769</v>
      </c>
      <c r="G191" s="655">
        <f>2931221/6.5</f>
        <v>450957.07692307694</v>
      </c>
      <c r="H191" s="655">
        <f>2931228/6.5</f>
        <v>450958.15384615387</v>
      </c>
    </row>
    <row r="192" spans="2:8">
      <c r="B192" s="638">
        <v>183</v>
      </c>
      <c r="C192" s="657" t="s">
        <v>879</v>
      </c>
      <c r="D192" s="661" t="s">
        <v>1171</v>
      </c>
      <c r="E192" s="655">
        <f t="shared" si="19"/>
        <v>587329.5384615385</v>
      </c>
      <c r="F192" s="666">
        <f>3816310/6.5</f>
        <v>587124.61538461538</v>
      </c>
      <c r="G192" s="655">
        <f>3818314/6.5</f>
        <v>587432.92307692312</v>
      </c>
      <c r="H192" s="655">
        <f>3818302/6.5</f>
        <v>587431.07692307688</v>
      </c>
    </row>
    <row r="193" spans="1:8">
      <c r="B193" s="638">
        <v>184</v>
      </c>
      <c r="C193" s="657" t="s">
        <v>880</v>
      </c>
      <c r="D193" s="661" t="s">
        <v>1171</v>
      </c>
      <c r="E193" s="655">
        <f t="shared" si="19"/>
        <v>741746.1025641025</v>
      </c>
      <c r="F193" s="666">
        <f>4729750/6.5</f>
        <v>727653.84615384613</v>
      </c>
      <c r="G193" s="655">
        <f>4867148/6.5</f>
        <v>748792</v>
      </c>
      <c r="H193" s="655">
        <f>4867151/6.5</f>
        <v>748792.4615384615</v>
      </c>
    </row>
    <row r="194" spans="1:8">
      <c r="B194" s="638">
        <v>185</v>
      </c>
      <c r="C194" s="657" t="s">
        <v>881</v>
      </c>
      <c r="D194" s="661" t="s">
        <v>1171</v>
      </c>
      <c r="E194" s="655">
        <f t="shared" si="19"/>
        <v>1080053.641025641</v>
      </c>
      <c r="F194" s="666">
        <f>6886511/6.5</f>
        <v>1059463.2307692308</v>
      </c>
      <c r="G194" s="655">
        <f>7087264/6.5</f>
        <v>1090348.3076923077</v>
      </c>
      <c r="H194" s="655">
        <f>7087271/6.5</f>
        <v>1090349.3846153845</v>
      </c>
    </row>
    <row r="195" spans="1:8">
      <c r="B195" s="638">
        <v>186</v>
      </c>
      <c r="C195" s="657" t="s">
        <v>882</v>
      </c>
      <c r="D195" s="661" t="s">
        <v>1171</v>
      </c>
      <c r="E195" s="655">
        <f t="shared" ref="E195:E196" si="20">AVERAGE(F195:G195)</f>
        <v>1355968.1692307692</v>
      </c>
      <c r="F195" s="666">
        <f>(7561999*1.16)/6.5</f>
        <v>1349525.9753846154</v>
      </c>
      <c r="G195" s="655">
        <f>(7634196*1.16)/6.5</f>
        <v>1362410.3630769229</v>
      </c>
      <c r="H195" s="655"/>
    </row>
    <row r="196" spans="1:8">
      <c r="B196" s="638">
        <v>187</v>
      </c>
      <c r="C196" s="657" t="s">
        <v>883</v>
      </c>
      <c r="D196" s="661" t="s">
        <v>1171</v>
      </c>
      <c r="E196" s="655">
        <f t="shared" si="20"/>
        <v>1550788.1169230766</v>
      </c>
      <c r="F196" s="666">
        <f>(8646856*1.16)/6.5</f>
        <v>1543131.2246153844</v>
      </c>
      <c r="G196" s="655">
        <f>(8732666*1.16)/6.5</f>
        <v>1558445.009230769</v>
      </c>
      <c r="H196" s="655"/>
    </row>
    <row r="197" spans="1:8" s="391" customFormat="1">
      <c r="A197" s="392"/>
      <c r="B197" s="703"/>
      <c r="C197" s="708" t="s">
        <v>1442</v>
      </c>
      <c r="D197" s="705"/>
      <c r="E197" s="709"/>
      <c r="F197" s="701" t="s">
        <v>923</v>
      </c>
      <c r="G197" s="701" t="s">
        <v>925</v>
      </c>
      <c r="H197" s="701" t="s">
        <v>1173</v>
      </c>
    </row>
    <row r="198" spans="1:8" s="391" customFormat="1">
      <c r="A198" s="392"/>
      <c r="B198" s="978">
        <v>188</v>
      </c>
      <c r="C198" s="660" t="s">
        <v>1187</v>
      </c>
      <c r="D198" s="661" t="s">
        <v>1175</v>
      </c>
      <c r="E198" s="655">
        <f t="shared" ref="E198:E202" si="21">AVERAGE(F198:H198)</f>
        <v>223796.33333333334</v>
      </c>
      <c r="F198" s="666">
        <v>223768</v>
      </c>
      <c r="G198" s="655">
        <v>223808</v>
      </c>
      <c r="H198" s="655">
        <v>223813</v>
      </c>
    </row>
    <row r="199" spans="1:8" s="391" customFormat="1">
      <c r="A199" s="392"/>
      <c r="B199" s="978">
        <v>189</v>
      </c>
      <c r="C199" s="660" t="s">
        <v>1188</v>
      </c>
      <c r="D199" s="661" t="s">
        <v>1175</v>
      </c>
      <c r="E199" s="655">
        <f t="shared" si="21"/>
        <v>245384.66666666666</v>
      </c>
      <c r="F199" s="666">
        <v>245351</v>
      </c>
      <c r="G199" s="655">
        <v>245398</v>
      </c>
      <c r="H199" s="655">
        <v>245405</v>
      </c>
    </row>
    <row r="200" spans="1:8" s="391" customFormat="1">
      <c r="A200" s="392"/>
      <c r="B200" s="978">
        <v>190</v>
      </c>
      <c r="C200" s="660" t="s">
        <v>1189</v>
      </c>
      <c r="D200" s="661" t="s">
        <v>1175</v>
      </c>
      <c r="E200" s="655">
        <f t="shared" si="21"/>
        <v>262464.66666666669</v>
      </c>
      <c r="F200" s="666">
        <v>262432</v>
      </c>
      <c r="G200" s="655">
        <v>262483</v>
      </c>
      <c r="H200" s="655">
        <v>262479</v>
      </c>
    </row>
    <row r="201" spans="1:8" s="391" customFormat="1">
      <c r="A201" s="392"/>
      <c r="B201" s="978">
        <v>191</v>
      </c>
      <c r="C201" s="660" t="s">
        <v>1190</v>
      </c>
      <c r="D201" s="661" t="s">
        <v>1175</v>
      </c>
      <c r="E201" s="655">
        <f t="shared" si="21"/>
        <v>400388.66666666669</v>
      </c>
      <c r="F201" s="666">
        <v>400341</v>
      </c>
      <c r="G201" s="655">
        <v>400421</v>
      </c>
      <c r="H201" s="655">
        <v>400404</v>
      </c>
    </row>
    <row r="202" spans="1:8" s="391" customFormat="1">
      <c r="A202" s="392"/>
      <c r="B202" s="978">
        <v>192</v>
      </c>
      <c r="C202" s="660" t="s">
        <v>1191</v>
      </c>
      <c r="D202" s="661" t="s">
        <v>1175</v>
      </c>
      <c r="E202" s="655">
        <f t="shared" si="21"/>
        <v>328643</v>
      </c>
      <c r="F202" s="666">
        <v>328597</v>
      </c>
      <c r="G202" s="655">
        <v>328663</v>
      </c>
      <c r="H202" s="655">
        <v>328669</v>
      </c>
    </row>
    <row r="203" spans="1:8" s="391" customFormat="1">
      <c r="A203" s="392"/>
      <c r="B203" s="703"/>
      <c r="C203" s="708" t="s">
        <v>1192</v>
      </c>
      <c r="D203" s="705"/>
      <c r="E203" s="709"/>
      <c r="F203" s="701" t="s">
        <v>923</v>
      </c>
      <c r="G203" s="701" t="s">
        <v>925</v>
      </c>
      <c r="H203" s="701" t="s">
        <v>1173</v>
      </c>
    </row>
    <row r="204" spans="1:8" s="391" customFormat="1">
      <c r="A204" s="392"/>
      <c r="B204" s="978">
        <v>193</v>
      </c>
      <c r="C204" s="660" t="s">
        <v>1194</v>
      </c>
      <c r="D204" s="661" t="s">
        <v>1175</v>
      </c>
      <c r="E204" s="655">
        <f>AVERAGE(F204:H204)</f>
        <v>126352.33333333333</v>
      </c>
      <c r="F204" s="666">
        <v>120138</v>
      </c>
      <c r="G204" s="655">
        <v>129459</v>
      </c>
      <c r="H204" s="655">
        <v>129460</v>
      </c>
    </row>
    <row r="205" spans="1:8" s="391" customFormat="1">
      <c r="A205" s="392"/>
      <c r="B205" s="978">
        <v>194</v>
      </c>
      <c r="C205" s="660" t="s">
        <v>1193</v>
      </c>
      <c r="D205" s="661" t="s">
        <v>1175</v>
      </c>
      <c r="E205" s="655">
        <f>AVERAGE(F205:H205)</f>
        <v>142837</v>
      </c>
      <c r="F205" s="666">
        <v>135812</v>
      </c>
      <c r="G205" s="655">
        <v>146351</v>
      </c>
      <c r="H205" s="655">
        <v>146348</v>
      </c>
    </row>
    <row r="206" spans="1:8" s="391" customFormat="1">
      <c r="A206" s="392"/>
      <c r="B206" s="978">
        <v>195</v>
      </c>
      <c r="C206" s="660" t="s">
        <v>1195</v>
      </c>
      <c r="D206" s="661" t="s">
        <v>1175</v>
      </c>
      <c r="E206" s="655">
        <f>AVERAGE(F206:H206)</f>
        <v>214772.33333333334</v>
      </c>
      <c r="F206" s="666">
        <v>204214</v>
      </c>
      <c r="G206" s="655">
        <v>220057</v>
      </c>
      <c r="H206" s="655">
        <v>220046</v>
      </c>
    </row>
    <row r="207" spans="1:8">
      <c r="B207" s="702"/>
      <c r="C207" s="979" t="s">
        <v>866</v>
      </c>
      <c r="D207" s="705"/>
      <c r="E207" s="706"/>
      <c r="F207" s="980" t="s">
        <v>917</v>
      </c>
      <c r="G207" s="981" t="s">
        <v>918</v>
      </c>
      <c r="H207" s="709"/>
    </row>
    <row r="208" spans="1:8">
      <c r="B208" s="455">
        <v>196</v>
      </c>
      <c r="C208" s="660" t="s">
        <v>1456</v>
      </c>
      <c r="D208" s="661" t="s">
        <v>1305</v>
      </c>
      <c r="E208" s="667">
        <f>AVERAGE(F208:G208)</f>
        <v>102776</v>
      </c>
      <c r="F208" s="666">
        <f>66800*1.19</f>
        <v>79492</v>
      </c>
      <c r="G208" s="655">
        <v>126060</v>
      </c>
      <c r="H208" s="655"/>
    </row>
    <row r="209" spans="2:8">
      <c r="B209" s="455">
        <v>197</v>
      </c>
      <c r="C209" s="660" t="s">
        <v>1457</v>
      </c>
      <c r="D209" s="661" t="s">
        <v>1175</v>
      </c>
      <c r="E209" s="667">
        <f t="shared" ref="E209:E215" si="22">AVERAGE(F209:G209)</f>
        <v>154960.5</v>
      </c>
      <c r="F209" s="666">
        <f>117900*1.19</f>
        <v>140301</v>
      </c>
      <c r="G209" s="655">
        <v>169620</v>
      </c>
      <c r="H209" s="655"/>
    </row>
    <row r="210" spans="2:8">
      <c r="B210" s="455">
        <v>198</v>
      </c>
      <c r="C210" s="660" t="s">
        <v>1458</v>
      </c>
      <c r="D210" s="661" t="s">
        <v>1175</v>
      </c>
      <c r="E210" s="667">
        <f t="shared" si="22"/>
        <v>211014.5</v>
      </c>
      <c r="F210" s="666">
        <f>151100*1.19</f>
        <v>179809</v>
      </c>
      <c r="G210" s="655">
        <v>242220</v>
      </c>
      <c r="H210" s="655"/>
    </row>
    <row r="211" spans="2:8">
      <c r="B211" s="455">
        <v>199</v>
      </c>
      <c r="C211" s="660" t="s">
        <v>1459</v>
      </c>
      <c r="D211" s="661" t="s">
        <v>1175</v>
      </c>
      <c r="E211" s="667">
        <f t="shared" si="22"/>
        <v>237206.5</v>
      </c>
      <c r="F211" s="666">
        <f>180700*1.19</f>
        <v>215033</v>
      </c>
      <c r="G211" s="655">
        <v>259380</v>
      </c>
      <c r="H211" s="655"/>
    </row>
    <row r="212" spans="2:8">
      <c r="B212" s="455">
        <v>200</v>
      </c>
      <c r="C212" s="660" t="s">
        <v>1460</v>
      </c>
      <c r="D212" s="661" t="s">
        <v>1175</v>
      </c>
      <c r="E212" s="667">
        <f t="shared" si="22"/>
        <v>295428.5</v>
      </c>
      <c r="F212" s="666">
        <f>230300*1.19</f>
        <v>274057</v>
      </c>
      <c r="G212" s="655">
        <v>316800</v>
      </c>
      <c r="H212" s="655"/>
    </row>
    <row r="213" spans="2:8">
      <c r="B213" s="455">
        <v>201</v>
      </c>
      <c r="C213" s="660" t="s">
        <v>1461</v>
      </c>
      <c r="D213" s="661" t="s">
        <v>1175</v>
      </c>
      <c r="E213" s="667">
        <f t="shared" si="22"/>
        <v>348144</v>
      </c>
      <c r="F213" s="666">
        <f>271200*1.19</f>
        <v>322728</v>
      </c>
      <c r="G213" s="655">
        <v>373560</v>
      </c>
      <c r="H213" s="655"/>
    </row>
    <row r="214" spans="2:8">
      <c r="B214" s="455">
        <v>202</v>
      </c>
      <c r="C214" s="660" t="s">
        <v>1462</v>
      </c>
      <c r="D214" s="661" t="s">
        <v>1175</v>
      </c>
      <c r="E214" s="667">
        <f t="shared" si="22"/>
        <v>434983.5</v>
      </c>
      <c r="F214" s="666">
        <f>327300*1.19</f>
        <v>389487</v>
      </c>
      <c r="G214" s="655">
        <v>480480</v>
      </c>
      <c r="H214" s="655"/>
    </row>
    <row r="215" spans="2:8">
      <c r="B215" s="455">
        <v>203</v>
      </c>
      <c r="C215" s="660" t="s">
        <v>1463</v>
      </c>
      <c r="D215" s="661" t="s">
        <v>1175</v>
      </c>
      <c r="E215" s="667">
        <f t="shared" si="22"/>
        <v>620052</v>
      </c>
      <c r="F215" s="666">
        <f>483600*1.19</f>
        <v>575484</v>
      </c>
      <c r="G215" s="655">
        <v>664620</v>
      </c>
      <c r="H215" s="655"/>
    </row>
    <row r="216" spans="2:8">
      <c r="B216" s="703"/>
      <c r="C216" s="979" t="s">
        <v>902</v>
      </c>
      <c r="D216" s="705"/>
      <c r="E216" s="706"/>
      <c r="F216" s="980"/>
      <c r="G216" s="981" t="s">
        <v>918</v>
      </c>
      <c r="H216" s="709"/>
    </row>
    <row r="217" spans="2:8">
      <c r="B217" s="399">
        <v>204</v>
      </c>
      <c r="C217" s="660" t="s">
        <v>934</v>
      </c>
      <c r="D217" s="661" t="s">
        <v>1175</v>
      </c>
      <c r="E217" s="667">
        <f t="shared" ref="E217:E221" si="23">AVERAGE(F217:G217)</f>
        <v>67099.58</v>
      </c>
      <c r="F217" s="666"/>
      <c r="G217" s="655">
        <v>67099.58</v>
      </c>
      <c r="H217" s="664"/>
    </row>
    <row r="218" spans="2:8">
      <c r="B218" s="399">
        <v>205</v>
      </c>
      <c r="C218" s="660" t="s">
        <v>867</v>
      </c>
      <c r="D218" s="661" t="s">
        <v>1175</v>
      </c>
      <c r="E218" s="667">
        <f t="shared" si="23"/>
        <v>90750.26</v>
      </c>
      <c r="F218" s="666"/>
      <c r="G218" s="655">
        <v>90750.26</v>
      </c>
      <c r="H218" s="664"/>
    </row>
    <row r="219" spans="2:8">
      <c r="B219" s="399">
        <v>206</v>
      </c>
      <c r="C219" s="660" t="s">
        <v>868</v>
      </c>
      <c r="D219" s="661" t="s">
        <v>1175</v>
      </c>
      <c r="E219" s="667">
        <f t="shared" si="23"/>
        <v>120119.86</v>
      </c>
      <c r="F219" s="666"/>
      <c r="G219" s="655">
        <v>120119.86</v>
      </c>
      <c r="H219" s="664"/>
    </row>
    <row r="220" spans="2:8">
      <c r="B220" s="399">
        <v>207</v>
      </c>
      <c r="C220" s="660" t="s">
        <v>869</v>
      </c>
      <c r="D220" s="661" t="s">
        <v>1175</v>
      </c>
      <c r="E220" s="667">
        <f t="shared" si="23"/>
        <v>175450.45</v>
      </c>
      <c r="F220" s="666"/>
      <c r="G220" s="655">
        <v>175450.45</v>
      </c>
      <c r="H220" s="664"/>
    </row>
    <row r="221" spans="2:8" ht="15" thickBot="1">
      <c r="B221" s="1072">
        <v>208</v>
      </c>
      <c r="C221" s="1073" t="s">
        <v>870</v>
      </c>
      <c r="D221" s="975" t="s">
        <v>1175</v>
      </c>
      <c r="E221" s="1074">
        <f t="shared" si="23"/>
        <v>210979.67</v>
      </c>
      <c r="F221" s="1075"/>
      <c r="G221" s="1076">
        <v>210979.67</v>
      </c>
      <c r="H221" s="985"/>
    </row>
    <row r="222" spans="2:8" ht="15">
      <c r="C222" s="16"/>
      <c r="D222" s="394"/>
      <c r="E222" s="395"/>
    </row>
    <row r="223" spans="2:8" ht="15">
      <c r="D223" s="394"/>
      <c r="E223" s="395"/>
    </row>
    <row r="224" spans="2:8">
      <c r="D224" s="9"/>
      <c r="E224" s="396"/>
    </row>
    <row r="225" spans="2:5">
      <c r="B225" s="356"/>
      <c r="D225" s="14"/>
      <c r="E225" s="336"/>
    </row>
    <row r="226" spans="2:5">
      <c r="D226" s="14"/>
      <c r="E226" s="336"/>
    </row>
    <row r="227" spans="2:5">
      <c r="D227" s="14"/>
      <c r="E227" s="337"/>
    </row>
    <row r="228" spans="2:5">
      <c r="B228" s="356"/>
      <c r="D228" s="14"/>
      <c r="E228" s="336"/>
    </row>
    <row r="229" spans="2:5">
      <c r="B229" s="356"/>
      <c r="D229" s="335"/>
      <c r="E229" s="336"/>
    </row>
    <row r="230" spans="2:5">
      <c r="B230" s="356"/>
      <c r="D230" s="14"/>
      <c r="E230" s="336"/>
    </row>
    <row r="231" spans="2:5">
      <c r="B231" s="356"/>
      <c r="D231" s="335"/>
      <c r="E231" s="336"/>
    </row>
    <row r="232" spans="2:5">
      <c r="D232" s="14"/>
      <c r="E232" s="15"/>
    </row>
    <row r="233" spans="2:5">
      <c r="E233"/>
    </row>
  </sheetData>
  <autoFilter ref="B1:H1"/>
  <sortState ref="B3:I75">
    <sortCondition ref="C3"/>
  </sortState>
  <pageMargins left="0.70866141732283472" right="0.70866141732283472" top="0.74803149606299213" bottom="0.74803149606299213" header="0.31496062992125984" footer="0.31496062992125984"/>
  <pageSetup paperSize="9" scale="55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K28" sqref="K2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382</v>
      </c>
      <c r="B7" s="24"/>
      <c r="C7" s="23"/>
      <c r="D7" s="2"/>
      <c r="E7" s="24"/>
      <c r="F7" s="2"/>
      <c r="G7" s="24" t="s">
        <v>385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0.34482713915298152</v>
      </c>
      <c r="G12" s="33">
        <f>E12*F12</f>
        <v>39896.499999999964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39896.499999999964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39896.499999999964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5984.474999999994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1994.8249999999982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1994.8249999999982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9974.1249999999909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49871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L23" sqref="L2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386</v>
      </c>
      <c r="B7" s="24"/>
      <c r="C7" s="23"/>
      <c r="D7" s="2"/>
      <c r="E7" s="24"/>
      <c r="F7" s="2"/>
      <c r="G7" s="24" t="s">
        <v>387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0.22222039757994816</v>
      </c>
      <c r="G12" s="33">
        <f>E12*F12</f>
        <v>25710.9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0.13</v>
      </c>
      <c r="G13" s="132">
        <f>E13*F13</f>
        <v>6653.01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32363.910000000003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32363.910000000003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4854.5865000000003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1618.1955000000003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1618.1955000000003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8090.9775000000009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40455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J19" sqref="J1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386</v>
      </c>
      <c r="B7" s="24"/>
      <c r="C7" s="23"/>
      <c r="D7" s="2"/>
      <c r="E7" s="24"/>
      <c r="F7" s="2"/>
      <c r="G7" s="24" t="s">
        <v>388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0.5555488331892825</v>
      </c>
      <c r="G12" s="33">
        <f>E12*F12</f>
        <v>64276.999999999985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0.13</v>
      </c>
      <c r="G13" s="132">
        <f>E13*F13</f>
        <v>6653.01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70930.00999999998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70930.00999999998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10639.501499999997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3546.5004999999992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3546.5004999999992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17732.502499999995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88663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topLeftCell="A4" workbookViewId="0">
      <selection activeCell="A13" sqref="A1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389</v>
      </c>
      <c r="B7" s="24"/>
      <c r="C7" s="23"/>
      <c r="D7" s="2"/>
      <c r="E7" s="24"/>
      <c r="F7" s="2"/>
      <c r="G7" s="24" t="s">
        <v>391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0.14285738980120821</v>
      </c>
      <c r="G12" s="33">
        <f>E12*F12</f>
        <v>16528.599999999791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26763.999999999793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26763.999999999793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4014.5999999999685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1338.1999999999898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1338.1999999999898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6690.9999999999482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33455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topLeftCell="A4" workbookViewId="0">
      <selection activeCell="I19" sqref="I1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389</v>
      </c>
      <c r="B7" s="24"/>
      <c r="C7" s="23"/>
      <c r="D7" s="2"/>
      <c r="E7" s="24"/>
      <c r="F7" s="2"/>
      <c r="G7" s="24" t="s">
        <v>390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0.49999999999999983</v>
      </c>
      <c r="G12" s="33">
        <f>E12*F12</f>
        <v>57849.999999999978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68085.39999999998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68085.39999999998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10212.809999999996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3404.2699999999991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3404.2699999999991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17021.349999999995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85107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K16" sqref="K16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393</v>
      </c>
      <c r="B7" s="24"/>
      <c r="C7" s="23"/>
      <c r="D7" s="2"/>
      <c r="E7" s="24"/>
      <c r="F7" s="2"/>
      <c r="G7" s="24" t="s">
        <v>392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0.19999481417458953</v>
      </c>
      <c r="G12" s="33">
        <f>E12*F12</f>
        <v>23139.400000000009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33374.80000000001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33374.80000000001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5006.2200000000012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1668.7400000000007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1668.7400000000007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8343.7000000000025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41719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K22" sqref="K22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393</v>
      </c>
      <c r="B7" s="24"/>
      <c r="C7" s="23"/>
      <c r="D7" s="2"/>
      <c r="E7" s="24"/>
      <c r="F7" s="2"/>
      <c r="G7" s="24" t="s">
        <v>394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0.6666654373183416</v>
      </c>
      <c r="G12" s="33">
        <f>E12*F12</f>
        <v>77133.191097732124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87368.591097732133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87368.591097732133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13105.28866465982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4368.4295548866066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4368.4295548866066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21842.147774433033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109211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J18" sqref="J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395</v>
      </c>
      <c r="B7" s="24"/>
      <c r="C7" s="23"/>
      <c r="D7" s="2"/>
      <c r="E7" s="24"/>
      <c r="F7" s="2"/>
      <c r="G7" s="24" t="s">
        <v>396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0.40000086430423487</v>
      </c>
      <c r="G12" s="33">
        <f>E12*F12</f>
        <v>46280.099999999977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46280.099999999977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46280.099999999977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6942.0149999999967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2314.0049999999987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2314.0049999999987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11570.024999999994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57850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K18" sqref="K1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395</v>
      </c>
      <c r="B7" s="24"/>
      <c r="C7" s="23"/>
      <c r="D7" s="2"/>
      <c r="E7" s="24"/>
      <c r="F7" s="2"/>
      <c r="G7" s="24" t="s">
        <v>397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0.66667077683104181</v>
      </c>
      <c r="G12" s="33">
        <f>E12*F12</f>
        <v>77133.808879351534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77133.808879351534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77133.808879351534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11570.071331902729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3856.6904439675768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3856.6904439675768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19283.452219837884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96417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K17" sqref="K17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399</v>
      </c>
      <c r="B7" s="24"/>
      <c r="C7" s="23"/>
      <c r="D7" s="2"/>
      <c r="E7" s="24"/>
      <c r="F7" s="2"/>
      <c r="G7" s="24" t="s">
        <v>398</v>
      </c>
      <c r="H7" s="23"/>
    </row>
    <row r="8" spans="1:8">
      <c r="A8" s="22" t="s">
        <v>383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0.33333621434745064</v>
      </c>
      <c r="G12" s="33">
        <f>E12*F12</f>
        <v>38567.000000000036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48802.400000000038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48802.400000000038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7320.3600000000051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2440.1200000000022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2440.1200000000022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12200.600000000009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61003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I29" sqref="I29"/>
    </sheetView>
  </sheetViews>
  <sheetFormatPr baseColWidth="10" defaultRowHeight="14.4"/>
  <cols>
    <col min="1" max="1" width="44.33203125" bestFit="1" customWidth="1"/>
    <col min="2" max="2" width="11.109375" customWidth="1"/>
    <col min="3" max="3" width="15" customWidth="1"/>
    <col min="4" max="4" width="13.88671875" bestFit="1" customWidth="1"/>
    <col min="5" max="6" width="12.5546875" customWidth="1"/>
    <col min="7" max="7" width="12.44140625" customWidth="1"/>
    <col min="8" max="8" width="13.33203125" bestFit="1" customWidth="1"/>
    <col min="9" max="9" width="11.88671875" customWidth="1"/>
    <col min="10" max="10" width="15.5546875" bestFit="1" customWidth="1"/>
    <col min="11" max="11" width="12.5546875" style="6" bestFit="1" customWidth="1"/>
    <col min="12" max="12" width="13" bestFit="1" customWidth="1"/>
  </cols>
  <sheetData>
    <row r="1" spans="1:12" ht="15" customHeight="1">
      <c r="A1" s="1180" t="s">
        <v>122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</row>
    <row r="2" spans="1:12" ht="16.2" thickBot="1">
      <c r="A2" s="819"/>
      <c r="B2" s="820"/>
      <c r="C2" s="820"/>
      <c r="D2" s="820"/>
      <c r="E2" s="820"/>
      <c r="F2" s="820"/>
      <c r="G2" s="820"/>
      <c r="H2" s="820"/>
      <c r="I2" s="828"/>
      <c r="J2" s="827"/>
      <c r="K2" s="827"/>
      <c r="L2" s="3"/>
    </row>
    <row r="3" spans="1:12" ht="31.2" thickBot="1">
      <c r="A3" s="839" t="s">
        <v>115</v>
      </c>
      <c r="B3" s="818" t="s">
        <v>0</v>
      </c>
      <c r="C3" s="817" t="s">
        <v>1271</v>
      </c>
      <c r="D3" s="817" t="s">
        <v>1268</v>
      </c>
      <c r="E3" s="817" t="s">
        <v>1269</v>
      </c>
      <c r="F3" s="818" t="s">
        <v>830</v>
      </c>
      <c r="G3" s="817" t="s">
        <v>1270</v>
      </c>
      <c r="H3" s="818" t="s">
        <v>104</v>
      </c>
      <c r="I3" s="818" t="s">
        <v>117</v>
      </c>
      <c r="J3" s="818" t="s">
        <v>4</v>
      </c>
      <c r="K3" s="818" t="s">
        <v>1272</v>
      </c>
      <c r="L3" s="831" t="s">
        <v>1273</v>
      </c>
    </row>
    <row r="4" spans="1:12" ht="15" thickBot="1">
      <c r="A4" s="404" t="s">
        <v>10</v>
      </c>
      <c r="B4" s="404"/>
      <c r="C4" s="830">
        <f>+MATERIALES!E14</f>
        <v>514</v>
      </c>
      <c r="D4" s="830">
        <f>+MATERIALES!E10</f>
        <v>51566.666666666664</v>
      </c>
      <c r="E4" s="830">
        <f>+MATERIALES!E54</f>
        <v>81699.892283333334</v>
      </c>
      <c r="F4" s="830">
        <f>+MATERIALES!E5</f>
        <v>68</v>
      </c>
      <c r="G4" s="405">
        <f>+MATERIALES!E36</f>
        <v>62931.333333333336</v>
      </c>
      <c r="H4" s="405">
        <v>0</v>
      </c>
      <c r="I4" s="405">
        <v>0</v>
      </c>
      <c r="J4" s="393"/>
      <c r="K4" s="867"/>
      <c r="L4" s="3"/>
    </row>
    <row r="5" spans="1:12" ht="15" thickBot="1">
      <c r="A5" s="872" t="s">
        <v>22</v>
      </c>
      <c r="B5" s="393"/>
      <c r="C5" s="840"/>
      <c r="D5" s="840"/>
      <c r="E5" s="840"/>
      <c r="F5" s="3"/>
      <c r="G5" s="840"/>
      <c r="H5" s="840"/>
      <c r="I5" s="840"/>
      <c r="J5" s="393"/>
      <c r="K5" s="840"/>
      <c r="L5" s="3"/>
    </row>
    <row r="6" spans="1:12" ht="15.6">
      <c r="A6" s="841" t="s">
        <v>1275</v>
      </c>
      <c r="B6" s="842" t="s">
        <v>1274</v>
      </c>
      <c r="C6" s="843">
        <v>260</v>
      </c>
      <c r="D6" s="844">
        <v>0.63</v>
      </c>
      <c r="E6" s="844">
        <v>0.84</v>
      </c>
      <c r="F6" s="845">
        <v>170</v>
      </c>
      <c r="G6" s="846"/>
      <c r="H6" s="847"/>
      <c r="I6" s="846"/>
      <c r="J6" s="868">
        <f>(C6*$C$4)+(D6*$D$4)+(E6*$E$4)+(F6*$F$4)+$H$4+$I$4</f>
        <v>246314.909518</v>
      </c>
      <c r="K6" s="849">
        <v>0.05</v>
      </c>
      <c r="L6" s="874">
        <f>+((J6*(1+K6)))</f>
        <v>258630.65499390001</v>
      </c>
    </row>
    <row r="7" spans="1:12" ht="15.6">
      <c r="A7" s="832" t="s">
        <v>1276</v>
      </c>
      <c r="B7" s="833" t="s">
        <v>1274</v>
      </c>
      <c r="C7" s="821">
        <v>300</v>
      </c>
      <c r="D7" s="823">
        <v>0.48</v>
      </c>
      <c r="E7" s="822">
        <v>0.95</v>
      </c>
      <c r="F7" s="823">
        <v>170</v>
      </c>
      <c r="G7" s="824"/>
      <c r="H7" s="825"/>
      <c r="I7" s="824"/>
      <c r="J7" s="869">
        <f>(C7*$C$4)+(D7*$D$4)+(E7*$E$4)+(F7*$F$4)+$H$4+$I$4</f>
        <v>268126.89766916668</v>
      </c>
      <c r="K7" s="829">
        <v>0.05</v>
      </c>
      <c r="L7" s="875">
        <f>+((J7*(1+K7)))</f>
        <v>281533.24255262502</v>
      </c>
    </row>
    <row r="8" spans="1:12" ht="15.6">
      <c r="A8" s="832" t="s">
        <v>1277</v>
      </c>
      <c r="B8" s="833" t="s">
        <v>1274</v>
      </c>
      <c r="C8" s="821">
        <v>350</v>
      </c>
      <c r="D8" s="823">
        <v>0.56000000000000005</v>
      </c>
      <c r="E8" s="822">
        <v>0.84</v>
      </c>
      <c r="F8" s="823">
        <v>180</v>
      </c>
      <c r="G8" s="824"/>
      <c r="H8" s="825"/>
      <c r="I8" s="824"/>
      <c r="J8" s="869">
        <f>(C8*$C$4)+(D8*$D$4)+(E8*$E$4)+(F8*$F$4)+$H$4+$I$4</f>
        <v>289645.24285133334</v>
      </c>
      <c r="K8" s="829">
        <v>0.05</v>
      </c>
      <c r="L8" s="875">
        <f t="shared" ref="L8:L17" si="0">+((J8*(1+K8)))</f>
        <v>304127.50499390002</v>
      </c>
    </row>
    <row r="9" spans="1:12" ht="15.6">
      <c r="A9" s="832" t="s">
        <v>1278</v>
      </c>
      <c r="B9" s="833" t="s">
        <v>1274</v>
      </c>
      <c r="C9" s="821">
        <v>420</v>
      </c>
      <c r="D9" s="823">
        <v>0.67</v>
      </c>
      <c r="E9" s="822">
        <v>0.67</v>
      </c>
      <c r="F9" s="823">
        <v>250</v>
      </c>
      <c r="G9" s="824"/>
      <c r="H9" s="825"/>
      <c r="I9" s="824"/>
      <c r="J9" s="869">
        <f>(C9*$C$4)+(D9*$D$4)+(E9*$E$4)+(F9*$F$4)+$H$4+$I$4</f>
        <v>322168.59449649998</v>
      </c>
      <c r="K9" s="829">
        <v>0.05</v>
      </c>
      <c r="L9" s="875">
        <f t="shared" si="0"/>
        <v>338277.024221325</v>
      </c>
    </row>
    <row r="10" spans="1:12" ht="15.6">
      <c r="A10" s="832" t="s">
        <v>112</v>
      </c>
      <c r="B10" s="833" t="s">
        <v>1274</v>
      </c>
      <c r="C10" s="821">
        <v>450</v>
      </c>
      <c r="D10" s="823">
        <v>0.67</v>
      </c>
      <c r="E10" s="822">
        <v>0.67</v>
      </c>
      <c r="F10" s="823">
        <v>250</v>
      </c>
      <c r="G10" s="400"/>
      <c r="H10" s="402"/>
      <c r="I10" s="400"/>
      <c r="J10" s="869">
        <f>(C10*$C$4)+(D10*$D$4)+(E10*$E$4)+(F10*$F$4)+$H$4+$I$4</f>
        <v>337588.59449650004</v>
      </c>
      <c r="K10" s="829">
        <v>0.05</v>
      </c>
      <c r="L10" s="875">
        <f t="shared" si="0"/>
        <v>354468.02422132506</v>
      </c>
    </row>
    <row r="11" spans="1:12" ht="15.6">
      <c r="A11" s="834" t="s">
        <v>113</v>
      </c>
      <c r="B11" s="833" t="s">
        <v>1274</v>
      </c>
      <c r="C11" s="835">
        <v>300</v>
      </c>
      <c r="D11" s="836">
        <v>0.48</v>
      </c>
      <c r="E11" s="836">
        <v>0.95</v>
      </c>
      <c r="F11" s="736">
        <v>170</v>
      </c>
      <c r="G11" s="836">
        <v>0.4</v>
      </c>
      <c r="H11" s="837"/>
      <c r="I11" s="838"/>
      <c r="J11" s="869">
        <f>(C11*$C$4)+(D11*$D$4)+(E11*$E$4)+(F11*$F$4)+(G11*$G$4)+$H$4+$I$4</f>
        <v>293299.4310025</v>
      </c>
      <c r="K11" s="829">
        <v>0.05</v>
      </c>
      <c r="L11" s="875">
        <f t="shared" si="0"/>
        <v>307964.40255262499</v>
      </c>
    </row>
    <row r="12" spans="1:12" ht="16.2" thickBot="1">
      <c r="A12" s="850" t="s">
        <v>114</v>
      </c>
      <c r="B12" s="865" t="s">
        <v>1274</v>
      </c>
      <c r="C12" s="851">
        <v>350</v>
      </c>
      <c r="D12" s="852">
        <v>0.56000000000000005</v>
      </c>
      <c r="E12" s="853">
        <v>0.84</v>
      </c>
      <c r="F12" s="852">
        <v>180</v>
      </c>
      <c r="G12" s="853">
        <v>0.4</v>
      </c>
      <c r="H12" s="403"/>
      <c r="I12" s="401"/>
      <c r="J12" s="870">
        <f>(C12*$C$4)+(D12*$D$4)+(E12*$E$4)+(F12*$F$4)+(G12*$G$4)+$H$4+$I$4</f>
        <v>314817.77618466667</v>
      </c>
      <c r="K12" s="866">
        <v>0.05</v>
      </c>
      <c r="L12" s="876">
        <f t="shared" si="0"/>
        <v>330558.66499389999</v>
      </c>
    </row>
    <row r="13" spans="1:12" ht="15" thickBot="1">
      <c r="A13" s="871" t="s">
        <v>887</v>
      </c>
      <c r="B13" s="397"/>
      <c r="C13" s="356"/>
      <c r="D13" s="356"/>
      <c r="E13" s="1"/>
      <c r="F13" s="3"/>
      <c r="G13" s="3"/>
      <c r="H13" s="3"/>
      <c r="I13" s="3"/>
      <c r="J13" s="873"/>
      <c r="K13" s="356"/>
      <c r="L13" s="873"/>
    </row>
    <row r="14" spans="1:12" ht="15.6">
      <c r="A14" s="859" t="s">
        <v>890</v>
      </c>
      <c r="B14" s="842" t="s">
        <v>1274</v>
      </c>
      <c r="C14" s="860">
        <v>610</v>
      </c>
      <c r="D14" s="860">
        <v>0.97</v>
      </c>
      <c r="E14" s="861"/>
      <c r="F14" s="860">
        <v>250</v>
      </c>
      <c r="G14" s="862"/>
      <c r="H14" s="862"/>
      <c r="I14" s="862"/>
      <c r="J14" s="848">
        <f>(C14*$C$4)+(D14*$D$4)+(F14*$F$4)+$H$4+$I$4</f>
        <v>380559.66666666669</v>
      </c>
      <c r="K14" s="849">
        <v>0.05</v>
      </c>
      <c r="L14" s="848">
        <f t="shared" si="0"/>
        <v>399587.65</v>
      </c>
    </row>
    <row r="15" spans="1:12" ht="15.6">
      <c r="A15" s="855" t="s">
        <v>888</v>
      </c>
      <c r="B15" s="833" t="s">
        <v>1274</v>
      </c>
      <c r="C15" s="856">
        <v>454</v>
      </c>
      <c r="D15" s="857">
        <v>1.1000000000000001</v>
      </c>
      <c r="E15" s="857"/>
      <c r="F15" s="856">
        <v>250</v>
      </c>
      <c r="G15" s="858"/>
      <c r="H15" s="858"/>
      <c r="I15" s="858"/>
      <c r="J15" s="826">
        <f>(C15*$C$4)+(D15*$D$4)+(F15*$F$4)+$H$4+$I$4</f>
        <v>307079.33333333331</v>
      </c>
      <c r="K15" s="829">
        <v>0.05</v>
      </c>
      <c r="L15" s="826">
        <f t="shared" si="0"/>
        <v>322433.3</v>
      </c>
    </row>
    <row r="16" spans="1:12" ht="15.6">
      <c r="A16" s="855" t="s">
        <v>120</v>
      </c>
      <c r="B16" s="833" t="s">
        <v>1274</v>
      </c>
      <c r="C16" s="856">
        <v>364</v>
      </c>
      <c r="D16" s="856">
        <v>1.1599999999999999</v>
      </c>
      <c r="E16" s="857"/>
      <c r="F16" s="856">
        <v>240</v>
      </c>
      <c r="G16" s="418"/>
      <c r="H16" s="418"/>
      <c r="I16" s="418"/>
      <c r="J16" s="826">
        <f>(C16*$C$4)+(D16*$D$4)+(F16*$F$4)+$H$4+$I$4</f>
        <v>263233.33333333331</v>
      </c>
      <c r="K16" s="829">
        <v>0.05</v>
      </c>
      <c r="L16" s="826">
        <f t="shared" si="0"/>
        <v>276395</v>
      </c>
    </row>
    <row r="17" spans="1:12" ht="16.2" thickBot="1">
      <c r="A17" s="877" t="s">
        <v>121</v>
      </c>
      <c r="B17" s="865" t="s">
        <v>1274</v>
      </c>
      <c r="C17" s="863">
        <v>302</v>
      </c>
      <c r="D17" s="863">
        <v>1.2</v>
      </c>
      <c r="E17" s="863"/>
      <c r="F17" s="864">
        <v>240</v>
      </c>
      <c r="G17" s="419"/>
      <c r="H17" s="419"/>
      <c r="I17" s="419"/>
      <c r="J17" s="854">
        <f>(C17*$C$4)+(D17*$D$4)+(F17*$F$4)+$H$4+$I$4</f>
        <v>233428</v>
      </c>
      <c r="K17" s="866">
        <v>0.05</v>
      </c>
      <c r="L17" s="854">
        <f t="shared" si="0"/>
        <v>245099.40000000002</v>
      </c>
    </row>
  </sheetData>
  <mergeCells count="1">
    <mergeCell ref="A1:L1"/>
  </mergeCell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399</v>
      </c>
      <c r="B7" s="24"/>
      <c r="C7" s="23"/>
      <c r="D7" s="2"/>
      <c r="E7" s="24"/>
      <c r="F7" s="2"/>
      <c r="G7" s="24" t="s">
        <v>400</v>
      </c>
      <c r="H7" s="23"/>
    </row>
    <row r="8" spans="1:8">
      <c r="A8" s="22" t="s">
        <v>364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17" t="s">
        <v>6</v>
      </c>
      <c r="B12" s="1218"/>
      <c r="C12" s="1219"/>
      <c r="D12" s="30" t="s">
        <v>5</v>
      </c>
      <c r="E12" s="48">
        <f>+'EQUIPOS '!D14</f>
        <v>115700</v>
      </c>
      <c r="F12" s="120">
        <v>0.6666654373183416</v>
      </c>
      <c r="G12" s="33">
        <f>E12*F12</f>
        <v>77133.191097732124</v>
      </c>
      <c r="H12" s="34"/>
    </row>
    <row r="13" spans="1:8">
      <c r="A13" s="134" t="s">
        <v>1048</v>
      </c>
      <c r="B13" s="135"/>
      <c r="C13" s="133"/>
      <c r="D13" s="133" t="s">
        <v>7</v>
      </c>
      <c r="E13" s="132">
        <f>'EQUIPOS '!D11</f>
        <v>51177</v>
      </c>
      <c r="F13" s="488">
        <v>0.2</v>
      </c>
      <c r="G13" s="132">
        <f>E13*F13</f>
        <v>10235.400000000001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87368.591097732133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39" t="s">
        <v>291</v>
      </c>
      <c r="E20" s="139" t="s">
        <v>292</v>
      </c>
      <c r="F20" s="139" t="s">
        <v>293</v>
      </c>
      <c r="G20" s="138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37" t="s">
        <v>297</v>
      </c>
      <c r="E27" s="137" t="s">
        <v>298</v>
      </c>
      <c r="F27" s="137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37" t="s">
        <v>302</v>
      </c>
      <c r="D33" s="137" t="s">
        <v>303</v>
      </c>
      <c r="E33" s="85" t="s">
        <v>304</v>
      </c>
      <c r="F33" s="64" t="s">
        <v>286</v>
      </c>
      <c r="G33" s="136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87368.591097732133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39" t="s">
        <v>308</v>
      </c>
      <c r="G42" s="138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13105.28866465982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4368.4295548866066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4368.4295548866066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21842.147774433033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109211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1"/>
  <sheetViews>
    <sheetView zoomScaleNormal="100" workbookViewId="0">
      <selection activeCell="J31" sqref="J31"/>
    </sheetView>
  </sheetViews>
  <sheetFormatPr baseColWidth="10" defaultRowHeight="14.4"/>
  <cols>
    <col min="5" max="5" width="12" bestFit="1" customWidth="1"/>
    <col min="10" max="10" width="13" bestFit="1" customWidth="1"/>
    <col min="11" max="11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401</v>
      </c>
      <c r="H7" s="23"/>
    </row>
    <row r="8" spans="1:8">
      <c r="A8" s="22" t="s">
        <v>1087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226" t="s">
        <v>834</v>
      </c>
      <c r="B12" s="1227"/>
      <c r="C12" s="1228"/>
      <c r="D12" s="374"/>
      <c r="E12" s="375"/>
      <c r="F12" s="382"/>
      <c r="G12" s="383">
        <f>+H41*10%</f>
        <v>7869.6999999999989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414">
        <f>+'EQUIPOS '!D10</f>
        <v>40267</v>
      </c>
      <c r="F13" s="381">
        <v>1</v>
      </c>
      <c r="G13" s="370">
        <f>E13*F13</f>
        <v>40267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1" ht="15" thickBot="1">
      <c r="A17" s="1194"/>
      <c r="B17" s="1195"/>
      <c r="C17" s="1196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48136.7</v>
      </c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1209" t="s">
        <v>283</v>
      </c>
      <c r="B20" s="1210"/>
      <c r="C20" s="1211"/>
      <c r="D20" s="497" t="s">
        <v>291</v>
      </c>
      <c r="E20" s="497" t="s">
        <v>292</v>
      </c>
      <c r="F20" s="497" t="s">
        <v>293</v>
      </c>
      <c r="G20" s="388" t="s">
        <v>287</v>
      </c>
      <c r="H20" s="29"/>
    </row>
    <row r="21" spans="1:11">
      <c r="A21" s="1229" t="s">
        <v>116</v>
      </c>
      <c r="B21" s="1230"/>
      <c r="C21" s="1231"/>
      <c r="D21" s="406" t="s">
        <v>28</v>
      </c>
      <c r="E21" s="406">
        <f>MATERIALES!E14</f>
        <v>514</v>
      </c>
      <c r="F21" s="406">
        <v>260</v>
      </c>
      <c r="G21" s="500">
        <f>+E21*F21</f>
        <v>133640</v>
      </c>
      <c r="H21" s="34"/>
    </row>
    <row r="22" spans="1:11">
      <c r="A22" s="1229" t="s">
        <v>49</v>
      </c>
      <c r="B22" s="1230"/>
      <c r="C22" s="1231"/>
      <c r="D22" s="406" t="s">
        <v>835</v>
      </c>
      <c r="E22" s="406">
        <f>MATERIALES!E10</f>
        <v>51566.666666666664</v>
      </c>
      <c r="F22" s="407">
        <v>0.63</v>
      </c>
      <c r="G22" s="500">
        <f>+E22*F22</f>
        <v>32487</v>
      </c>
      <c r="H22" s="376"/>
      <c r="J22" s="10"/>
    </row>
    <row r="23" spans="1:11">
      <c r="A23" s="1229" t="s">
        <v>8</v>
      </c>
      <c r="B23" s="1230"/>
      <c r="C23" s="1231"/>
      <c r="D23" s="406" t="s">
        <v>835</v>
      </c>
      <c r="E23" s="406">
        <f>MATERIALES!E54</f>
        <v>81699.892283333334</v>
      </c>
      <c r="F23" s="407">
        <v>0.84</v>
      </c>
      <c r="G23" s="500">
        <f>+E23*F23</f>
        <v>68627.909518</v>
      </c>
      <c r="H23" s="376"/>
    </row>
    <row r="24" spans="1:11">
      <c r="A24" s="1229" t="s">
        <v>830</v>
      </c>
      <c r="B24" s="1230"/>
      <c r="C24" s="1231"/>
      <c r="D24" s="406" t="s">
        <v>986</v>
      </c>
      <c r="E24" s="406">
        <f>MATERIALES!E5</f>
        <v>68</v>
      </c>
      <c r="F24" s="406">
        <v>170</v>
      </c>
      <c r="G24" s="500">
        <f>+E24*F24</f>
        <v>11560</v>
      </c>
      <c r="H24" s="376"/>
    </row>
    <row r="25" spans="1:11" ht="15" thickBot="1">
      <c r="A25" s="1223" t="s">
        <v>832</v>
      </c>
      <c r="B25" s="1224"/>
      <c r="C25" s="1225"/>
      <c r="D25" s="501"/>
      <c r="E25" s="502"/>
      <c r="F25" s="503"/>
      <c r="G25" s="504">
        <f>SUM(G21:G24)*5%</f>
        <v>12315.745475900001</v>
      </c>
      <c r="H25" s="377"/>
      <c r="J25" s="10"/>
      <c r="K25" s="10"/>
    </row>
    <row r="26" spans="1:11" ht="15" thickBot="1">
      <c r="A26" s="378"/>
      <c r="B26" s="378"/>
      <c r="C26" s="378"/>
      <c r="D26" s="378"/>
      <c r="E26" s="378"/>
      <c r="F26" s="378"/>
      <c r="G26" s="379" t="s">
        <v>289</v>
      </c>
      <c r="H26" s="380">
        <f>SUM(G21:G25)</f>
        <v>258630.65499390001</v>
      </c>
    </row>
    <row r="27" spans="1:11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1">
      <c r="A28" s="1185" t="s">
        <v>295</v>
      </c>
      <c r="B28" s="1187"/>
      <c r="C28" s="55" t="s">
        <v>296</v>
      </c>
      <c r="D28" s="357" t="s">
        <v>297</v>
      </c>
      <c r="E28" s="357" t="s">
        <v>298</v>
      </c>
      <c r="F28" s="357" t="s">
        <v>299</v>
      </c>
      <c r="G28" s="56" t="s">
        <v>287</v>
      </c>
      <c r="H28" s="29"/>
    </row>
    <row r="29" spans="1:11">
      <c r="A29" s="45" t="s">
        <v>8</v>
      </c>
      <c r="B29" s="46"/>
      <c r="C29" s="386">
        <f>F23</f>
        <v>0.84</v>
      </c>
      <c r="D29" s="58">
        <v>8</v>
      </c>
      <c r="E29" s="384">
        <f>D29*C29</f>
        <v>6.72</v>
      </c>
      <c r="F29" s="59">
        <f>'EQUIPOS '!D18</f>
        <v>1250</v>
      </c>
      <c r="G29" s="385">
        <f>F29*E29</f>
        <v>8400</v>
      </c>
      <c r="H29" s="34"/>
    </row>
    <row r="30" spans="1:11">
      <c r="A30" s="45" t="s">
        <v>49</v>
      </c>
      <c r="B30" s="46"/>
      <c r="C30" s="386">
        <f>F22</f>
        <v>0.63</v>
      </c>
      <c r="D30" s="30">
        <v>8</v>
      </c>
      <c r="E30" s="384">
        <f>D30*C30</f>
        <v>5.04</v>
      </c>
      <c r="F30" s="59">
        <f>'EQUIPOS '!D18</f>
        <v>1250</v>
      </c>
      <c r="G30" s="385">
        <f>F30*E30</f>
        <v>6300</v>
      </c>
      <c r="H30" s="34"/>
    </row>
    <row r="31" spans="1:11">
      <c r="A31" s="408"/>
      <c r="B31" s="409"/>
      <c r="C31" s="410"/>
      <c r="D31" s="35"/>
      <c r="E31" s="384"/>
      <c r="F31" s="412"/>
      <c r="G31" s="385"/>
      <c r="H31" s="34"/>
    </row>
    <row r="32" spans="1:11">
      <c r="A32" s="408"/>
      <c r="B32" s="409"/>
      <c r="C32" s="410"/>
      <c r="D32" s="35"/>
      <c r="E32" s="411"/>
      <c r="F32" s="412"/>
      <c r="G32" s="413"/>
      <c r="H32" s="34"/>
    </row>
    <row r="33" spans="1:12" ht="15" thickBot="1">
      <c r="A33" s="62"/>
      <c r="B33" s="63"/>
      <c r="C33" s="38"/>
      <c r="D33" s="39"/>
      <c r="E33" s="40"/>
      <c r="F33" s="41"/>
      <c r="G33" s="38"/>
      <c r="H33" s="34"/>
    </row>
    <row r="34" spans="1:12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14700</v>
      </c>
    </row>
    <row r="35" spans="1:12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2">
      <c r="A36" s="1185" t="s">
        <v>301</v>
      </c>
      <c r="B36" s="1187"/>
      <c r="C36" s="137" t="s">
        <v>302</v>
      </c>
      <c r="D36" s="137" t="s">
        <v>303</v>
      </c>
      <c r="E36" s="85" t="s">
        <v>304</v>
      </c>
      <c r="F36" s="64" t="s">
        <v>286</v>
      </c>
      <c r="G36" s="136" t="s">
        <v>287</v>
      </c>
      <c r="H36" s="29"/>
    </row>
    <row r="37" spans="1:12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115">
        <v>0.33333088471883487</v>
      </c>
      <c r="G37" s="67">
        <f>+E37*F37</f>
        <v>30559.000000000011</v>
      </c>
      <c r="H37" s="34"/>
    </row>
    <row r="38" spans="1:12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115">
        <v>0.20389529649477012</v>
      </c>
      <c r="G38" s="67">
        <f>+E38*F38</f>
        <v>48137.999999999971</v>
      </c>
      <c r="H38" s="34"/>
    </row>
    <row r="39" spans="1:12">
      <c r="A39" s="45"/>
      <c r="B39" s="46"/>
      <c r="C39" s="65"/>
      <c r="D39" s="66"/>
      <c r="E39" s="31"/>
      <c r="F39" s="31"/>
      <c r="G39" s="67"/>
      <c r="H39" s="34"/>
    </row>
    <row r="40" spans="1:12" ht="15" thickBot="1">
      <c r="A40" s="62"/>
      <c r="B40" s="68"/>
      <c r="C40" s="39"/>
      <c r="D40" s="53"/>
      <c r="E40" s="102"/>
      <c r="F40" s="53"/>
      <c r="G40" s="52"/>
      <c r="H40" s="42"/>
    </row>
    <row r="41" spans="1:12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78696.999999999985</v>
      </c>
      <c r="J41" s="813"/>
      <c r="K41" s="807"/>
      <c r="L41" s="807"/>
    </row>
    <row r="42" spans="1:12" ht="15" thickBot="1">
      <c r="A42" s="23"/>
      <c r="B42" s="23"/>
      <c r="C42" s="23"/>
      <c r="D42" s="23"/>
      <c r="E42" s="23"/>
      <c r="F42" s="23"/>
      <c r="G42" s="69"/>
      <c r="H42" s="20"/>
    </row>
    <row r="43" spans="1:12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H18+H26+H34+H41</f>
        <v>400164.35499389999</v>
      </c>
    </row>
    <row r="44" spans="1:12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2">
      <c r="A45" s="72" t="s">
        <v>283</v>
      </c>
      <c r="B45" s="73"/>
      <c r="C45" s="73"/>
      <c r="D45" s="73"/>
      <c r="E45" s="74"/>
      <c r="F45" s="139" t="s">
        <v>308</v>
      </c>
      <c r="G45" s="138" t="s">
        <v>309</v>
      </c>
      <c r="H45" s="29"/>
    </row>
    <row r="46" spans="1:12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60024.653249084993</v>
      </c>
      <c r="H46" s="79"/>
    </row>
    <row r="47" spans="1:12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20008.217749695003</v>
      </c>
      <c r="H47" s="79"/>
    </row>
    <row r="48" spans="1:12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20008.217749695003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100041.088748475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500205</v>
      </c>
    </row>
  </sheetData>
  <mergeCells count="18">
    <mergeCell ref="D5:H5"/>
    <mergeCell ref="A11:C11"/>
    <mergeCell ref="A13:C13"/>
    <mergeCell ref="A14:C14"/>
    <mergeCell ref="A15:C15"/>
    <mergeCell ref="A25:C25"/>
    <mergeCell ref="A12:C12"/>
    <mergeCell ref="A36:B36"/>
    <mergeCell ref="A3:C4"/>
    <mergeCell ref="A5:C5"/>
    <mergeCell ref="A16:C16"/>
    <mergeCell ref="A17:C17"/>
    <mergeCell ref="A20:C20"/>
    <mergeCell ref="A28:B28"/>
    <mergeCell ref="A22:C22"/>
    <mergeCell ref="A21:C21"/>
    <mergeCell ref="A24:C24"/>
    <mergeCell ref="A23:C23"/>
  </mergeCells>
  <pageMargins left="0.7" right="0.7" top="0.75" bottom="0.75" header="0.3" footer="0.3"/>
  <pageSetup paperSize="9" scale="9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1"/>
  <sheetViews>
    <sheetView zoomScaleNormal="100" workbookViewId="0">
      <selection activeCell="N39" sqref="N39"/>
    </sheetView>
  </sheetViews>
  <sheetFormatPr baseColWidth="10" defaultRowHeight="14.4"/>
  <cols>
    <col min="5" max="5" width="12" bestFit="1" customWidth="1"/>
    <col min="10" max="10" width="13" bestFit="1" customWidth="1"/>
    <col min="11" max="11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402</v>
      </c>
      <c r="H7" s="23"/>
    </row>
    <row r="8" spans="1:8">
      <c r="A8" s="22" t="s">
        <v>1025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94" t="s">
        <v>284</v>
      </c>
      <c r="E11" s="27" t="s">
        <v>285</v>
      </c>
      <c r="F11" s="494" t="s">
        <v>286</v>
      </c>
      <c r="G11" s="493" t="s">
        <v>287</v>
      </c>
      <c r="H11" s="29"/>
    </row>
    <row r="12" spans="1:8">
      <c r="A12" s="1226" t="s">
        <v>834</v>
      </c>
      <c r="B12" s="1227"/>
      <c r="C12" s="1228"/>
      <c r="D12" s="374"/>
      <c r="E12" s="375"/>
      <c r="F12" s="382"/>
      <c r="G12" s="383">
        <f>+H41*10%</f>
        <v>10230.6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381">
        <f>+'EQUIPOS '!D10</f>
        <v>40267</v>
      </c>
      <c r="F13" s="381">
        <v>1</v>
      </c>
      <c r="G13" s="370">
        <f>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1" ht="15" thickBot="1">
      <c r="A17" s="1194"/>
      <c r="B17" s="1195"/>
      <c r="C17" s="1196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54643.299999999996</v>
      </c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1209" t="s">
        <v>283</v>
      </c>
      <c r="B20" s="1210"/>
      <c r="C20" s="1211"/>
      <c r="D20" s="497" t="s">
        <v>291</v>
      </c>
      <c r="E20" s="497" t="s">
        <v>292</v>
      </c>
      <c r="F20" s="497" t="s">
        <v>293</v>
      </c>
      <c r="G20" s="388" t="s">
        <v>287</v>
      </c>
      <c r="H20" s="29"/>
    </row>
    <row r="21" spans="1:11">
      <c r="A21" s="1229" t="s">
        <v>116</v>
      </c>
      <c r="B21" s="1230"/>
      <c r="C21" s="1231"/>
      <c r="D21" s="406" t="s">
        <v>28</v>
      </c>
      <c r="E21" s="406">
        <f>MATERIALES!E14</f>
        <v>514</v>
      </c>
      <c r="F21" s="406">
        <v>300</v>
      </c>
      <c r="G21" s="500">
        <f>+E21*F21</f>
        <v>154200</v>
      </c>
      <c r="H21" s="34"/>
    </row>
    <row r="22" spans="1:11">
      <c r="A22" s="1229" t="s">
        <v>49</v>
      </c>
      <c r="B22" s="1230"/>
      <c r="C22" s="1231"/>
      <c r="D22" s="406" t="s">
        <v>835</v>
      </c>
      <c r="E22" s="406">
        <f>MATERIALES!E10</f>
        <v>51566.666666666664</v>
      </c>
      <c r="F22" s="407">
        <v>0.48</v>
      </c>
      <c r="G22" s="500">
        <f>+E22*F22</f>
        <v>24751.999999999996</v>
      </c>
      <c r="H22" s="376"/>
      <c r="J22" s="10"/>
    </row>
    <row r="23" spans="1:11">
      <c r="A23" s="1229" t="s">
        <v>8</v>
      </c>
      <c r="B23" s="1230"/>
      <c r="C23" s="1231"/>
      <c r="D23" s="406" t="s">
        <v>835</v>
      </c>
      <c r="E23" s="406">
        <f>MATERIALES!E54</f>
        <v>81699.892283333334</v>
      </c>
      <c r="F23" s="407">
        <v>0.95</v>
      </c>
      <c r="G23" s="500">
        <f>+E23*F23</f>
        <v>77614.897669166661</v>
      </c>
      <c r="H23" s="376"/>
    </row>
    <row r="24" spans="1:11">
      <c r="A24" s="1229" t="s">
        <v>830</v>
      </c>
      <c r="B24" s="1230"/>
      <c r="C24" s="1231"/>
      <c r="D24" s="406" t="s">
        <v>986</v>
      </c>
      <c r="E24" s="406">
        <f>MATERIALES!E5</f>
        <v>68</v>
      </c>
      <c r="F24" s="406">
        <v>170</v>
      </c>
      <c r="G24" s="500">
        <f>+E24*F24</f>
        <v>11560</v>
      </c>
      <c r="H24" s="376"/>
    </row>
    <row r="25" spans="1:11" ht="15" thickBot="1">
      <c r="A25" s="1223" t="s">
        <v>832</v>
      </c>
      <c r="B25" s="1224"/>
      <c r="C25" s="1225"/>
      <c r="D25" s="501"/>
      <c r="E25" s="502"/>
      <c r="F25" s="503"/>
      <c r="G25" s="504">
        <f>SUM(G21:G24)*5%</f>
        <v>13406.344883458334</v>
      </c>
      <c r="H25" s="377"/>
      <c r="J25" s="10"/>
      <c r="K25" s="10"/>
    </row>
    <row r="26" spans="1:11" ht="15" thickBot="1">
      <c r="A26" s="378"/>
      <c r="B26" s="378"/>
      <c r="C26" s="378"/>
      <c r="D26" s="378"/>
      <c r="E26" s="378"/>
      <c r="F26" s="378"/>
      <c r="G26" s="379" t="s">
        <v>289</v>
      </c>
      <c r="H26" s="380">
        <f>SUM(G21:G25)</f>
        <v>281533.24255262502</v>
      </c>
    </row>
    <row r="27" spans="1:11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1">
      <c r="A28" s="1185" t="s">
        <v>295</v>
      </c>
      <c r="B28" s="1187"/>
      <c r="C28" s="55" t="s">
        <v>296</v>
      </c>
      <c r="D28" s="494" t="s">
        <v>297</v>
      </c>
      <c r="E28" s="494" t="s">
        <v>298</v>
      </c>
      <c r="F28" s="494" t="s">
        <v>299</v>
      </c>
      <c r="G28" s="56" t="s">
        <v>287</v>
      </c>
      <c r="H28" s="29"/>
    </row>
    <row r="29" spans="1:11">
      <c r="A29" s="45" t="s">
        <v>49</v>
      </c>
      <c r="B29" s="46"/>
      <c r="C29" s="386">
        <f>F22</f>
        <v>0.48</v>
      </c>
      <c r="D29" s="58">
        <v>8</v>
      </c>
      <c r="E29" s="384">
        <f>D29*C29</f>
        <v>3.84</v>
      </c>
      <c r="F29" s="59">
        <f>'EQUIPOS '!D18</f>
        <v>1250</v>
      </c>
      <c r="G29" s="385">
        <f>F29*E29</f>
        <v>4800</v>
      </c>
      <c r="H29" s="34"/>
    </row>
    <row r="30" spans="1:11">
      <c r="A30" s="45" t="s">
        <v>8</v>
      </c>
      <c r="B30" s="46"/>
      <c r="C30" s="386">
        <f>F23</f>
        <v>0.95</v>
      </c>
      <c r="D30" s="30">
        <v>8</v>
      </c>
      <c r="E30" s="384">
        <f>D30*C30</f>
        <v>7.6</v>
      </c>
      <c r="F30" s="59">
        <f>'EQUIPOS '!D18</f>
        <v>1250</v>
      </c>
      <c r="G30" s="385">
        <f>F30*E30</f>
        <v>9500</v>
      </c>
      <c r="H30" s="34"/>
    </row>
    <row r="31" spans="1:11">
      <c r="A31" s="408"/>
      <c r="B31" s="409"/>
      <c r="C31" s="410"/>
      <c r="D31" s="35"/>
      <c r="E31" s="384"/>
      <c r="F31" s="412"/>
      <c r="G31" s="385"/>
      <c r="H31" s="34"/>
    </row>
    <row r="32" spans="1:11">
      <c r="A32" s="408"/>
      <c r="B32" s="409"/>
      <c r="C32" s="410"/>
      <c r="D32" s="35"/>
      <c r="E32" s="411"/>
      <c r="F32" s="412"/>
      <c r="G32" s="413"/>
      <c r="H32" s="34"/>
    </row>
    <row r="33" spans="1:12" ht="15" thickBot="1">
      <c r="A33" s="62"/>
      <c r="B33" s="63"/>
      <c r="C33" s="38"/>
      <c r="D33" s="39"/>
      <c r="E33" s="40"/>
      <c r="F33" s="41"/>
      <c r="G33" s="38"/>
      <c r="H33" s="34"/>
    </row>
    <row r="34" spans="1:12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14300</v>
      </c>
    </row>
    <row r="35" spans="1:12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2">
      <c r="A36" s="1185" t="s">
        <v>301</v>
      </c>
      <c r="B36" s="1187"/>
      <c r="C36" s="494" t="s">
        <v>302</v>
      </c>
      <c r="D36" s="494" t="s">
        <v>303</v>
      </c>
      <c r="E36" s="85" t="s">
        <v>304</v>
      </c>
      <c r="F36" s="64" t="s">
        <v>286</v>
      </c>
      <c r="G36" s="493" t="s">
        <v>287</v>
      </c>
      <c r="H36" s="29"/>
    </row>
    <row r="37" spans="1:12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115">
        <v>0.3</v>
      </c>
      <c r="G37" s="67">
        <f>+E37*F37</f>
        <v>27503.302034952361</v>
      </c>
      <c r="H37" s="34"/>
    </row>
    <row r="38" spans="1:12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115">
        <v>0.31683739000773059</v>
      </c>
      <c r="G38" s="67">
        <f>+E38*F38</f>
        <v>74802.697965047642</v>
      </c>
      <c r="H38" s="34"/>
    </row>
    <row r="39" spans="1:12">
      <c r="A39" s="45"/>
      <c r="B39" s="46"/>
      <c r="C39" s="65"/>
      <c r="D39" s="66"/>
      <c r="E39" s="31"/>
      <c r="F39" s="31"/>
      <c r="G39" s="67"/>
      <c r="H39" s="34"/>
    </row>
    <row r="40" spans="1:12" ht="15" thickBot="1">
      <c r="A40" s="62"/>
      <c r="B40" s="68"/>
      <c r="C40" s="39"/>
      <c r="D40" s="53"/>
      <c r="E40" s="102"/>
      <c r="F40" s="53"/>
      <c r="G40" s="52"/>
      <c r="H40" s="42"/>
    </row>
    <row r="41" spans="1:12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102306</v>
      </c>
      <c r="J41" s="813"/>
      <c r="L41" s="148"/>
    </row>
    <row r="42" spans="1:12" ht="15" thickBot="1">
      <c r="A42" s="23"/>
      <c r="B42" s="23"/>
      <c r="C42" s="23"/>
      <c r="D42" s="23"/>
      <c r="E42" s="23"/>
      <c r="F42" s="23"/>
      <c r="G42" s="69"/>
      <c r="H42" s="20"/>
    </row>
    <row r="43" spans="1:12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H18+H26+H34+H41</f>
        <v>452782.542552625</v>
      </c>
    </row>
    <row r="44" spans="1:12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2">
      <c r="A45" s="72" t="s">
        <v>283</v>
      </c>
      <c r="B45" s="73"/>
      <c r="C45" s="73"/>
      <c r="D45" s="73"/>
      <c r="E45" s="74"/>
      <c r="F45" s="497" t="s">
        <v>308</v>
      </c>
      <c r="G45" s="496" t="s">
        <v>309</v>
      </c>
      <c r="H45" s="29"/>
    </row>
    <row r="46" spans="1:12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67917.381382893742</v>
      </c>
      <c r="H46" s="79"/>
    </row>
    <row r="47" spans="1:12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22639.127127631251</v>
      </c>
      <c r="H47" s="79"/>
    </row>
    <row r="48" spans="1:12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22639.127127631251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113195.63563815624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565978</v>
      </c>
    </row>
  </sheetData>
  <mergeCells count="18">
    <mergeCell ref="A36:B36"/>
    <mergeCell ref="A14:C14"/>
    <mergeCell ref="A15:C15"/>
    <mergeCell ref="A16:C16"/>
    <mergeCell ref="A17:C17"/>
    <mergeCell ref="A20:C20"/>
    <mergeCell ref="A21:C21"/>
    <mergeCell ref="A22:C22"/>
    <mergeCell ref="A23:C23"/>
    <mergeCell ref="A24:C24"/>
    <mergeCell ref="A25:C25"/>
    <mergeCell ref="A28:B28"/>
    <mergeCell ref="A13:C13"/>
    <mergeCell ref="A3:C4"/>
    <mergeCell ref="A5:C5"/>
    <mergeCell ref="D5:H5"/>
    <mergeCell ref="A11:C11"/>
    <mergeCell ref="A12:C12"/>
  </mergeCells>
  <pageMargins left="0.7" right="0.7" top="0.75" bottom="0.75" header="0.3" footer="0.3"/>
  <pageSetup paperSize="9" scale="9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1"/>
  <sheetViews>
    <sheetView zoomScaleNormal="100" workbookViewId="0">
      <selection activeCell="M22" sqref="M22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14.25" customHeight="1">
      <c r="A7" s="22" t="s">
        <v>22</v>
      </c>
      <c r="B7" s="24"/>
      <c r="C7" s="23"/>
      <c r="D7" s="2"/>
      <c r="E7" s="24"/>
      <c r="F7" s="2"/>
      <c r="G7" s="24" t="s">
        <v>404</v>
      </c>
      <c r="H7" s="23"/>
    </row>
    <row r="8" spans="1:8">
      <c r="A8" s="510" t="s">
        <v>1030</v>
      </c>
      <c r="B8" s="510"/>
      <c r="C8" s="510"/>
      <c r="D8" s="510"/>
      <c r="E8" s="510"/>
      <c r="F8" s="510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191" t="s">
        <v>834</v>
      </c>
      <c r="B12" s="1192"/>
      <c r="C12" s="1193"/>
      <c r="D12" s="35"/>
      <c r="E12" s="35"/>
      <c r="F12" s="59"/>
      <c r="G12" s="33">
        <f>H41*10%</f>
        <v>10230.6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31">
        <f>+'EQUIPOS '!D10</f>
        <v>40267</v>
      </c>
      <c r="F13" s="30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561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430"/>
      <c r="B15" s="431"/>
      <c r="C15" s="432"/>
      <c r="D15" s="35"/>
      <c r="E15" s="96"/>
      <c r="F15" s="434"/>
      <c r="G15" s="50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0">
      <c r="A17" s="1191"/>
      <c r="B17" s="1192"/>
      <c r="C17" s="1193"/>
      <c r="D17" s="35"/>
      <c r="E17" s="36"/>
      <c r="F17" s="31"/>
      <c r="G17" s="33"/>
      <c r="H17" s="34"/>
    </row>
    <row r="18" spans="1:10" ht="15" thickBot="1">
      <c r="A18" s="1194"/>
      <c r="B18" s="1195"/>
      <c r="C18" s="1196"/>
      <c r="D18" s="38"/>
      <c r="E18" s="39"/>
      <c r="F18" s="40"/>
      <c r="G18" s="41"/>
      <c r="H18" s="42"/>
    </row>
    <row r="19" spans="1:10" ht="15" thickBot="1">
      <c r="A19" s="23"/>
      <c r="B19" s="23"/>
      <c r="C19" s="23"/>
      <c r="D19" s="23"/>
      <c r="E19" s="23"/>
      <c r="F19" s="23"/>
      <c r="G19" s="43" t="s">
        <v>289</v>
      </c>
      <c r="H19" s="44">
        <f>SUM(G12:G18)</f>
        <v>54643.299999999996</v>
      </c>
    </row>
    <row r="20" spans="1:10" ht="15" thickBot="1">
      <c r="A20" s="25" t="s">
        <v>290</v>
      </c>
      <c r="B20" s="25"/>
      <c r="C20" s="23"/>
      <c r="D20" s="23"/>
      <c r="E20" s="23"/>
      <c r="F20" s="23"/>
      <c r="G20" s="23"/>
      <c r="H20" s="23"/>
    </row>
    <row r="21" spans="1:10">
      <c r="A21" s="1209" t="s">
        <v>283</v>
      </c>
      <c r="B21" s="1210"/>
      <c r="C21" s="1211"/>
      <c r="D21" s="433" t="s">
        <v>291</v>
      </c>
      <c r="E21" s="433" t="s">
        <v>292</v>
      </c>
      <c r="F21" s="433" t="s">
        <v>293</v>
      </c>
      <c r="G21" s="388" t="s">
        <v>287</v>
      </c>
      <c r="H21" s="29"/>
    </row>
    <row r="22" spans="1:10">
      <c r="A22" s="1191" t="s">
        <v>116</v>
      </c>
      <c r="B22" s="1192"/>
      <c r="C22" s="1193"/>
      <c r="D22" s="30" t="s">
        <v>28</v>
      </c>
      <c r="E22" s="30">
        <f>MATERIALES!E14</f>
        <v>514</v>
      </c>
      <c r="F22" s="406">
        <v>300</v>
      </c>
      <c r="G22" s="67">
        <f>+E22*F22</f>
        <v>154200</v>
      </c>
      <c r="H22" s="34"/>
    </row>
    <row r="23" spans="1:10">
      <c r="A23" s="1206" t="s">
        <v>49</v>
      </c>
      <c r="B23" s="1207"/>
      <c r="C23" s="1208"/>
      <c r="D23" s="30" t="s">
        <v>835</v>
      </c>
      <c r="E23" s="30">
        <f>MATERIALES!E10</f>
        <v>51566.666666666664</v>
      </c>
      <c r="F23" s="407">
        <v>0.48</v>
      </c>
      <c r="G23" s="67">
        <f>+E23*F23</f>
        <v>24751.999999999996</v>
      </c>
      <c r="H23" s="34"/>
    </row>
    <row r="24" spans="1:10">
      <c r="A24" s="1206" t="s">
        <v>8</v>
      </c>
      <c r="B24" s="1207"/>
      <c r="C24" s="1208"/>
      <c r="D24" s="30" t="s">
        <v>835</v>
      </c>
      <c r="E24" s="30">
        <f>MATERIALES!E54</f>
        <v>81699.892283333334</v>
      </c>
      <c r="F24" s="407">
        <v>0.95</v>
      </c>
      <c r="G24" s="67">
        <f>+E24*F24</f>
        <v>77614.897669166661</v>
      </c>
      <c r="H24" s="34"/>
    </row>
    <row r="25" spans="1:10">
      <c r="A25" s="1206" t="s">
        <v>1031</v>
      </c>
      <c r="B25" s="1207"/>
      <c r="C25" s="1208"/>
      <c r="D25" s="30" t="s">
        <v>835</v>
      </c>
      <c r="E25" s="30">
        <f>MATERIALES!E36</f>
        <v>62931.333333333336</v>
      </c>
      <c r="F25" s="407">
        <v>0.4</v>
      </c>
      <c r="G25" s="67">
        <f>+E25*F25</f>
        <v>25172.533333333336</v>
      </c>
      <c r="H25" s="34"/>
      <c r="J25" s="7"/>
    </row>
    <row r="26" spans="1:10">
      <c r="A26" s="1191" t="s">
        <v>830</v>
      </c>
      <c r="B26" s="1192"/>
      <c r="C26" s="1193"/>
      <c r="D26" s="30" t="s">
        <v>986</v>
      </c>
      <c r="E26" s="30">
        <f>MATERIALES!E5</f>
        <v>68</v>
      </c>
      <c r="F26" s="508">
        <v>170</v>
      </c>
      <c r="G26" s="67">
        <f>+E26*F26</f>
        <v>11560</v>
      </c>
      <c r="H26" s="34"/>
    </row>
    <row r="27" spans="1:10" ht="15" thickBot="1">
      <c r="A27" s="1194" t="s">
        <v>832</v>
      </c>
      <c r="B27" s="1195"/>
      <c r="C27" s="1196"/>
      <c r="D27" s="38"/>
      <c r="E27" s="39"/>
      <c r="F27" s="438"/>
      <c r="G27" s="389">
        <f>SUM(G22:G26)*5%</f>
        <v>14664.971550125001</v>
      </c>
      <c r="H27" s="42"/>
      <c r="J27" s="148"/>
    </row>
    <row r="28" spans="1:10" ht="15" thickBot="1">
      <c r="A28" s="23"/>
      <c r="B28" s="23"/>
      <c r="C28" s="23"/>
      <c r="D28" s="23"/>
      <c r="E28" s="23"/>
      <c r="F28" s="23"/>
      <c r="G28" s="43" t="s">
        <v>289</v>
      </c>
      <c r="H28" s="44">
        <f>SUM(G22:G27)</f>
        <v>307964.40255262499</v>
      </c>
      <c r="J28" s="148"/>
    </row>
    <row r="29" spans="1:10" ht="15" thickBot="1">
      <c r="A29" s="54" t="s">
        <v>294</v>
      </c>
      <c r="B29" s="54"/>
      <c r="C29" s="52"/>
      <c r="D29" s="23"/>
      <c r="E29" s="23"/>
      <c r="F29" s="23"/>
      <c r="G29" s="23"/>
      <c r="H29" s="23"/>
    </row>
    <row r="30" spans="1:10">
      <c r="A30" s="1185" t="s">
        <v>295</v>
      </c>
      <c r="B30" s="1187"/>
      <c r="C30" s="511" t="s">
        <v>296</v>
      </c>
      <c r="D30" s="498" t="s">
        <v>297</v>
      </c>
      <c r="E30" s="498" t="s">
        <v>298</v>
      </c>
      <c r="F30" s="498" t="s">
        <v>299</v>
      </c>
      <c r="G30" s="56" t="s">
        <v>287</v>
      </c>
      <c r="H30" s="29"/>
    </row>
    <row r="31" spans="1:10">
      <c r="A31" s="45" t="s">
        <v>49</v>
      </c>
      <c r="B31" s="46"/>
      <c r="C31" s="386">
        <f>F23</f>
        <v>0.48</v>
      </c>
      <c r="D31" s="58">
        <v>8</v>
      </c>
      <c r="E31" s="384">
        <f>D31*C31</f>
        <v>3.84</v>
      </c>
      <c r="F31" s="59">
        <f>'EQUIPOS '!D18</f>
        <v>1250</v>
      </c>
      <c r="G31" s="512">
        <f>F31*E31</f>
        <v>4800</v>
      </c>
      <c r="H31" s="34"/>
    </row>
    <row r="32" spans="1:10">
      <c r="A32" s="45" t="s">
        <v>8</v>
      </c>
      <c r="B32" s="46"/>
      <c r="C32" s="386">
        <f>F24</f>
        <v>0.95</v>
      </c>
      <c r="D32" s="30">
        <v>8</v>
      </c>
      <c r="E32" s="384">
        <f>D32*C32</f>
        <v>7.6</v>
      </c>
      <c r="F32" s="59">
        <f>'EQUIPOS '!D18</f>
        <v>1250</v>
      </c>
      <c r="G32" s="512">
        <f>F32*E32</f>
        <v>9500</v>
      </c>
      <c r="H32" s="34"/>
    </row>
    <row r="33" spans="1:12" ht="15" thickBot="1">
      <c r="A33" s="62" t="s">
        <v>118</v>
      </c>
      <c r="B33" s="63"/>
      <c r="C33" s="509">
        <f>F25</f>
        <v>0.4</v>
      </c>
      <c r="D33" s="38">
        <v>8</v>
      </c>
      <c r="E33" s="170">
        <f>D33*C33</f>
        <v>3.2</v>
      </c>
      <c r="F33" s="170">
        <f>'EQUIPOS '!D18</f>
        <v>1250</v>
      </c>
      <c r="G33" s="513">
        <f>F33*E33</f>
        <v>4000</v>
      </c>
      <c r="H33" s="34"/>
    </row>
    <row r="34" spans="1:12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SUM(G31:G33)</f>
        <v>18300</v>
      </c>
    </row>
    <row r="35" spans="1:12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2">
      <c r="A36" s="1185" t="s">
        <v>301</v>
      </c>
      <c r="B36" s="1187"/>
      <c r="C36" s="137" t="s">
        <v>302</v>
      </c>
      <c r="D36" s="137" t="s">
        <v>303</v>
      </c>
      <c r="E36" s="85" t="s">
        <v>304</v>
      </c>
      <c r="F36" s="64" t="s">
        <v>286</v>
      </c>
      <c r="G36" s="136" t="s">
        <v>287</v>
      </c>
      <c r="H36" s="29"/>
    </row>
    <row r="37" spans="1:12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115">
        <v>0.4</v>
      </c>
      <c r="G37" s="67">
        <f>+E37*F37</f>
        <v>36671.069379936489</v>
      </c>
      <c r="H37" s="34"/>
    </row>
    <row r="38" spans="1:12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115">
        <v>0.27800601685137571</v>
      </c>
      <c r="G38" s="67">
        <f>+E38*F38</f>
        <v>65634.930620063518</v>
      </c>
      <c r="H38" s="34"/>
    </row>
    <row r="39" spans="1:12">
      <c r="A39" s="45"/>
      <c r="B39" s="46"/>
      <c r="C39" s="65"/>
      <c r="D39" s="66"/>
      <c r="E39" s="31"/>
      <c r="F39" s="31"/>
      <c r="G39" s="67"/>
      <c r="H39" s="34"/>
    </row>
    <row r="40" spans="1:12" ht="15" thickBot="1">
      <c r="A40" s="62"/>
      <c r="B40" s="68"/>
      <c r="C40" s="39"/>
      <c r="D40" s="53"/>
      <c r="E40" s="102"/>
      <c r="F40" s="53"/>
      <c r="G40" s="52"/>
      <c r="H40" s="42"/>
    </row>
    <row r="41" spans="1:12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102306</v>
      </c>
      <c r="J41" s="813"/>
      <c r="L41" s="148"/>
    </row>
    <row r="42" spans="1:12" ht="15" thickBot="1">
      <c r="A42" s="23"/>
      <c r="B42" s="23"/>
      <c r="C42" s="23"/>
      <c r="D42" s="23"/>
      <c r="E42" s="23"/>
      <c r="F42" s="23"/>
      <c r="G42" s="69"/>
      <c r="H42" s="20"/>
    </row>
    <row r="43" spans="1:12" ht="15" thickBot="1">
      <c r="A43" s="23"/>
      <c r="B43" s="23"/>
      <c r="C43" s="23"/>
      <c r="D43" s="23"/>
      <c r="E43" s="70" t="s">
        <v>306</v>
      </c>
      <c r="F43" s="71"/>
      <c r="G43" s="71"/>
      <c r="H43" s="44">
        <f>H19+H28+H34+H41</f>
        <v>483213.70255262498</v>
      </c>
    </row>
    <row r="44" spans="1:12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2">
      <c r="A45" s="72" t="s">
        <v>283</v>
      </c>
      <c r="B45" s="73"/>
      <c r="C45" s="73"/>
      <c r="D45" s="73"/>
      <c r="E45" s="74"/>
      <c r="F45" s="139" t="s">
        <v>308</v>
      </c>
      <c r="G45" s="138" t="s">
        <v>309</v>
      </c>
      <c r="H45" s="29"/>
    </row>
    <row r="46" spans="1:12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72482.055382893741</v>
      </c>
      <c r="H46" s="79"/>
    </row>
    <row r="47" spans="1:12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24160.685127631252</v>
      </c>
      <c r="H47" s="79"/>
    </row>
    <row r="48" spans="1:12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24160.685127631252</v>
      </c>
      <c r="H48" s="42"/>
    </row>
    <row r="49" spans="1:12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120803.42563815624</v>
      </c>
    </row>
    <row r="50" spans="1:12" ht="15" thickBot="1">
      <c r="A50" s="23"/>
      <c r="B50" s="23"/>
      <c r="C50" s="23"/>
      <c r="D50" s="23"/>
      <c r="E50" s="23"/>
      <c r="F50" s="23"/>
      <c r="G50" s="23"/>
      <c r="H50" s="23"/>
    </row>
    <row r="51" spans="1:12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604017</v>
      </c>
      <c r="J51" s="813"/>
      <c r="L51" s="148"/>
    </row>
  </sheetData>
  <mergeCells count="19">
    <mergeCell ref="A26:C26"/>
    <mergeCell ref="A27:C27"/>
    <mergeCell ref="A36:B36"/>
    <mergeCell ref="A3:C4"/>
    <mergeCell ref="A5:C5"/>
    <mergeCell ref="A17:C17"/>
    <mergeCell ref="A18:C18"/>
    <mergeCell ref="A21:C21"/>
    <mergeCell ref="A30:B30"/>
    <mergeCell ref="A23:C23"/>
    <mergeCell ref="A24:C24"/>
    <mergeCell ref="A22:C22"/>
    <mergeCell ref="A25:C25"/>
    <mergeCell ref="D5:H5"/>
    <mergeCell ref="A11:C11"/>
    <mergeCell ref="A13:C13"/>
    <mergeCell ref="A12:C12"/>
    <mergeCell ref="A16:C16"/>
    <mergeCell ref="A14:C14"/>
  </mergeCells>
  <pageMargins left="0.7" right="0.7" top="0.75" bottom="0.75" header="0.3" footer="0.3"/>
  <pageSetup paperSize="9" scale="9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3"/>
  <sheetViews>
    <sheetView workbookViewId="0">
      <selection activeCell="G8" sqref="G8"/>
    </sheetView>
  </sheetViews>
  <sheetFormatPr baseColWidth="10" defaultRowHeight="14.4"/>
  <cols>
    <col min="5" max="5" width="12" bestFit="1" customWidth="1"/>
    <col min="11" max="11" width="12" bestFit="1" customWidth="1"/>
    <col min="12" max="12" width="13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1604</v>
      </c>
      <c r="H7" s="23"/>
    </row>
    <row r="8" spans="1:8">
      <c r="A8" s="439" t="s">
        <v>1029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37" t="s">
        <v>284</v>
      </c>
      <c r="E11" s="27" t="s">
        <v>285</v>
      </c>
      <c r="F11" s="137" t="s">
        <v>286</v>
      </c>
      <c r="G11" s="136" t="s">
        <v>287</v>
      </c>
      <c r="H11" s="29"/>
    </row>
    <row r="12" spans="1:8">
      <c r="A12" s="1191" t="s">
        <v>834</v>
      </c>
      <c r="B12" s="1192"/>
      <c r="C12" s="1193"/>
      <c r="D12" s="435"/>
      <c r="E12" s="441"/>
      <c r="F12" s="442"/>
      <c r="G12" s="440">
        <f>H41*10%</f>
        <v>11253.660000000002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31">
        <f>'EQUIPOS '!D10</f>
        <v>40267</v>
      </c>
      <c r="F13" s="30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561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430" t="s">
        <v>924</v>
      </c>
      <c r="D15" s="35" t="s">
        <v>15</v>
      </c>
      <c r="E15" s="36">
        <f>MATERIALES!E21</f>
        <v>1392</v>
      </c>
      <c r="F15" s="30">
        <v>4</v>
      </c>
      <c r="G15" s="33">
        <f>E15*F15</f>
        <v>5568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>
      <c r="A17" s="1191"/>
      <c r="B17" s="1192"/>
      <c r="C17" s="1193"/>
      <c r="D17" s="35"/>
      <c r="E17" s="36"/>
      <c r="F17" s="31"/>
      <c r="G17" s="33"/>
      <c r="H17" s="34"/>
    </row>
    <row r="18" spans="1:8" ht="15" thickBot="1">
      <c r="A18" s="1194"/>
      <c r="B18" s="1195"/>
      <c r="C18" s="1196"/>
      <c r="D18" s="38"/>
      <c r="E18" s="39"/>
      <c r="F18" s="40"/>
      <c r="G18" s="41"/>
      <c r="H18" s="42"/>
    </row>
    <row r="19" spans="1:8" ht="15" thickBot="1">
      <c r="A19" s="23"/>
      <c r="B19" s="23"/>
      <c r="C19" s="23"/>
      <c r="D19" s="23"/>
      <c r="E19" s="23"/>
      <c r="F19" s="23"/>
      <c r="G19" s="43" t="s">
        <v>289</v>
      </c>
      <c r="H19" s="44">
        <f>SUM(G12:G18)</f>
        <v>61234.36</v>
      </c>
    </row>
    <row r="20" spans="1:8" ht="15" thickBot="1">
      <c r="A20" s="25" t="s">
        <v>290</v>
      </c>
      <c r="B20" s="25"/>
      <c r="C20" s="23"/>
      <c r="D20" s="23"/>
      <c r="E20" s="23"/>
      <c r="F20" s="23"/>
      <c r="G20" s="23"/>
      <c r="H20" s="23"/>
    </row>
    <row r="21" spans="1:8">
      <c r="A21" s="1209" t="s">
        <v>283</v>
      </c>
      <c r="B21" s="1210"/>
      <c r="C21" s="1211"/>
      <c r="D21" s="433" t="s">
        <v>291</v>
      </c>
      <c r="E21" s="433" t="s">
        <v>292</v>
      </c>
      <c r="F21" s="433" t="s">
        <v>293</v>
      </c>
      <c r="G21" s="388" t="s">
        <v>287</v>
      </c>
      <c r="H21" s="29"/>
    </row>
    <row r="22" spans="1:8">
      <c r="A22" s="447" t="s">
        <v>831</v>
      </c>
      <c r="B22" s="444"/>
      <c r="C22" s="445"/>
      <c r="D22" s="446" t="s">
        <v>28</v>
      </c>
      <c r="E22" s="808">
        <f>MATERIALES!E14</f>
        <v>514</v>
      </c>
      <c r="F22" s="446">
        <v>300</v>
      </c>
      <c r="G22" s="448">
        <f>E22*F22</f>
        <v>154200</v>
      </c>
      <c r="H22" s="34"/>
    </row>
    <row r="23" spans="1:8">
      <c r="A23" s="430" t="s">
        <v>49</v>
      </c>
      <c r="B23" s="444"/>
      <c r="C23" s="445"/>
      <c r="D23" s="446" t="s">
        <v>9</v>
      </c>
      <c r="E23" s="808">
        <f>MATERIALES!E10</f>
        <v>51566.666666666664</v>
      </c>
      <c r="F23" s="446">
        <v>0.48</v>
      </c>
      <c r="G23" s="448">
        <f>E23*F23</f>
        <v>24751.999999999996</v>
      </c>
      <c r="H23" s="34"/>
    </row>
    <row r="24" spans="1:8">
      <c r="A24" s="430" t="s">
        <v>8</v>
      </c>
      <c r="B24" s="444"/>
      <c r="C24" s="445"/>
      <c r="D24" s="446" t="s">
        <v>9</v>
      </c>
      <c r="E24" s="808">
        <f>MATERIALES!E54</f>
        <v>81699.892283333334</v>
      </c>
      <c r="F24" s="446">
        <v>0.95</v>
      </c>
      <c r="G24" s="448">
        <f>E24*F24</f>
        <v>77614.897669166661</v>
      </c>
      <c r="H24" s="34"/>
    </row>
    <row r="25" spans="1:8">
      <c r="A25" s="459" t="s">
        <v>830</v>
      </c>
      <c r="B25" s="444"/>
      <c r="C25" s="445"/>
      <c r="D25" s="446" t="s">
        <v>47</v>
      </c>
      <c r="E25" s="808">
        <f>MATERIALES!E5</f>
        <v>68</v>
      </c>
      <c r="F25" s="446">
        <v>170</v>
      </c>
      <c r="G25" s="448">
        <f>E25*F25</f>
        <v>11560</v>
      </c>
      <c r="H25" s="34"/>
    </row>
    <row r="26" spans="1:8">
      <c r="A26" s="443" t="s">
        <v>1031</v>
      </c>
      <c r="B26" s="436"/>
      <c r="C26" s="437"/>
      <c r="D26" s="480" t="s">
        <v>9</v>
      </c>
      <c r="E26" s="809">
        <f>MATERIALES!E36</f>
        <v>62931.333333333336</v>
      </c>
      <c r="F26" s="810">
        <v>0.4</v>
      </c>
      <c r="G26" s="481">
        <f>E26*F26</f>
        <v>25172.533333333336</v>
      </c>
      <c r="H26" s="34"/>
    </row>
    <row r="27" spans="1:8" ht="15" thickBot="1">
      <c r="A27" s="62" t="s">
        <v>832</v>
      </c>
      <c r="B27" s="68"/>
      <c r="C27" s="63"/>
      <c r="D27" s="38"/>
      <c r="E27" s="39"/>
      <c r="F27" s="449"/>
      <c r="G27" s="389">
        <f>SUM(G22:G26)*5%</f>
        <v>14664.971550125001</v>
      </c>
      <c r="H27" s="42"/>
    </row>
    <row r="28" spans="1:8" ht="15" thickBot="1">
      <c r="A28" s="23"/>
      <c r="B28" s="23"/>
      <c r="C28" s="23"/>
      <c r="D28" s="23"/>
      <c r="E28" s="23"/>
      <c r="F28" s="23"/>
      <c r="G28" s="43" t="s">
        <v>289</v>
      </c>
      <c r="H28" s="44">
        <f>SUM(G22:G27)</f>
        <v>307964.40255262499</v>
      </c>
    </row>
    <row r="29" spans="1:8" ht="15" thickBot="1">
      <c r="A29" s="54" t="s">
        <v>294</v>
      </c>
      <c r="B29" s="54"/>
      <c r="C29" s="52"/>
      <c r="D29" s="23"/>
      <c r="E29" s="23"/>
      <c r="F29" s="23"/>
      <c r="G29" s="23"/>
      <c r="H29" s="23"/>
    </row>
    <row r="30" spans="1:8">
      <c r="A30" s="1185" t="s">
        <v>295</v>
      </c>
      <c r="B30" s="1187"/>
      <c r="C30" s="511" t="s">
        <v>296</v>
      </c>
      <c r="D30" s="498" t="s">
        <v>297</v>
      </c>
      <c r="E30" s="498" t="s">
        <v>298</v>
      </c>
      <c r="F30" s="498" t="s">
        <v>299</v>
      </c>
      <c r="G30" s="56" t="s">
        <v>287</v>
      </c>
      <c r="H30" s="29"/>
    </row>
    <row r="31" spans="1:8">
      <c r="A31" s="45" t="s">
        <v>49</v>
      </c>
      <c r="B31" s="46"/>
      <c r="C31" s="386">
        <f>F23</f>
        <v>0.48</v>
      </c>
      <c r="D31" s="58">
        <v>8</v>
      </c>
      <c r="E31" s="384">
        <f>D31*C31</f>
        <v>3.84</v>
      </c>
      <c r="F31" s="59">
        <f>'EQUIPOS '!D18</f>
        <v>1250</v>
      </c>
      <c r="G31" s="512">
        <f>F31*E31</f>
        <v>4800</v>
      </c>
      <c r="H31" s="34"/>
    </row>
    <row r="32" spans="1:8">
      <c r="A32" s="45" t="s">
        <v>8</v>
      </c>
      <c r="B32" s="46"/>
      <c r="C32" s="386">
        <f>F24</f>
        <v>0.95</v>
      </c>
      <c r="D32" s="30">
        <v>8</v>
      </c>
      <c r="E32" s="384">
        <f>D32*C32</f>
        <v>7.6</v>
      </c>
      <c r="F32" s="59">
        <f>'EQUIPOS '!D18</f>
        <v>1250</v>
      </c>
      <c r="G32" s="512">
        <f>F32*E32</f>
        <v>9500</v>
      </c>
      <c r="H32" s="34"/>
    </row>
    <row r="33" spans="1:12" ht="15" thickBot="1">
      <c r="A33" s="62" t="s">
        <v>1036</v>
      </c>
      <c r="B33" s="63"/>
      <c r="C33" s="170">
        <f>F26</f>
        <v>0.4</v>
      </c>
      <c r="D33" s="38">
        <v>8</v>
      </c>
      <c r="E33" s="170">
        <f>D33*C33</f>
        <v>3.2</v>
      </c>
      <c r="F33" s="170">
        <f>'EQUIPOS '!D18</f>
        <v>1250</v>
      </c>
      <c r="G33" s="513">
        <f>F33*E33</f>
        <v>4000</v>
      </c>
      <c r="H33" s="34"/>
    </row>
    <row r="34" spans="1:12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SUM(G31:G33)</f>
        <v>18300</v>
      </c>
    </row>
    <row r="35" spans="1:12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2">
      <c r="A36" s="1185" t="s">
        <v>301</v>
      </c>
      <c r="B36" s="1187"/>
      <c r="C36" s="137" t="s">
        <v>302</v>
      </c>
      <c r="D36" s="137" t="s">
        <v>303</v>
      </c>
      <c r="E36" s="85" t="s">
        <v>304</v>
      </c>
      <c r="F36" s="64" t="s">
        <v>286</v>
      </c>
      <c r="G36" s="136" t="s">
        <v>287</v>
      </c>
      <c r="H36" s="29"/>
    </row>
    <row r="37" spans="1:12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0.45</v>
      </c>
      <c r="G37" s="67">
        <f>+E37*F37</f>
        <v>41254.953052428544</v>
      </c>
      <c r="H37" s="34"/>
    </row>
    <row r="38" spans="1:12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31">
        <v>0.30192348122087781</v>
      </c>
      <c r="G38" s="67">
        <f>+E38*F38</f>
        <v>71281.646947571455</v>
      </c>
      <c r="H38" s="34"/>
    </row>
    <row r="39" spans="1:12">
      <c r="A39" s="45"/>
      <c r="B39" s="46"/>
      <c r="C39" s="65"/>
      <c r="D39" s="66"/>
      <c r="E39" s="31"/>
      <c r="F39" s="31"/>
      <c r="G39" s="67"/>
      <c r="H39" s="34"/>
    </row>
    <row r="40" spans="1:12" ht="15" thickBot="1">
      <c r="A40" s="62"/>
      <c r="B40" s="68"/>
      <c r="C40" s="39"/>
      <c r="D40" s="53"/>
      <c r="E40" s="102"/>
      <c r="F40" s="53"/>
      <c r="G40" s="52"/>
      <c r="H40" s="42"/>
    </row>
    <row r="41" spans="1:12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112536.6</v>
      </c>
      <c r="J41" s="813"/>
      <c r="K41" s="1069"/>
      <c r="L41" s="1069"/>
    </row>
    <row r="42" spans="1:12" ht="15" thickBot="1">
      <c r="A42" s="23"/>
      <c r="B42" s="23"/>
      <c r="C42" s="23"/>
      <c r="D42" s="23"/>
      <c r="E42" s="23"/>
      <c r="F42" s="23"/>
      <c r="G42" s="69"/>
      <c r="H42" s="20"/>
    </row>
    <row r="43" spans="1:12" ht="15" thickBot="1">
      <c r="A43" s="23"/>
      <c r="B43" s="23"/>
      <c r="C43" s="23"/>
      <c r="D43" s="23"/>
      <c r="E43" s="70" t="s">
        <v>306</v>
      </c>
      <c r="F43" s="71"/>
      <c r="G43" s="71"/>
      <c r="H43" s="44">
        <f>H19+H28+H34+H41</f>
        <v>500035.36255262501</v>
      </c>
    </row>
    <row r="44" spans="1:12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2">
      <c r="A45" s="72" t="s">
        <v>283</v>
      </c>
      <c r="B45" s="73"/>
      <c r="C45" s="73"/>
      <c r="D45" s="73"/>
      <c r="E45" s="74"/>
      <c r="F45" s="139" t="s">
        <v>308</v>
      </c>
      <c r="G45" s="138" t="s">
        <v>309</v>
      </c>
      <c r="H45" s="29"/>
    </row>
    <row r="46" spans="1:12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75005.304382893752</v>
      </c>
      <c r="H46" s="79"/>
    </row>
    <row r="47" spans="1:12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25001.768127631251</v>
      </c>
      <c r="H47" s="79"/>
    </row>
    <row r="48" spans="1:12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25001.768127631251</v>
      </c>
      <c r="H48" s="42"/>
    </row>
    <row r="49" spans="1:10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125008.84063815625</v>
      </c>
    </row>
    <row r="50" spans="1:10" ht="15" thickBot="1">
      <c r="A50" s="23"/>
      <c r="B50" s="23"/>
      <c r="C50" s="23"/>
      <c r="D50" s="23"/>
      <c r="E50" s="23"/>
      <c r="F50" s="23"/>
      <c r="G50" s="23"/>
      <c r="H50" s="23"/>
    </row>
    <row r="51" spans="1:10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625044</v>
      </c>
    </row>
    <row r="53" spans="1:10">
      <c r="J53" s="148"/>
    </row>
  </sheetData>
  <mergeCells count="13">
    <mergeCell ref="A36:B36"/>
    <mergeCell ref="A3:C4"/>
    <mergeCell ref="A5:C5"/>
    <mergeCell ref="D5:H5"/>
    <mergeCell ref="A11:C11"/>
    <mergeCell ref="A13:C13"/>
    <mergeCell ref="A12:C12"/>
    <mergeCell ref="A16:C16"/>
    <mergeCell ref="A17:C17"/>
    <mergeCell ref="A18:C18"/>
    <mergeCell ref="A21:C21"/>
    <mergeCell ref="A30:B30"/>
    <mergeCell ref="A14:C14"/>
  </mergeCells>
  <pageMargins left="0.7" right="0.7" top="0.75" bottom="0.75" header="0.3" footer="0.3"/>
  <pageSetup paperSize="9" scale="9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"/>
  <sheetViews>
    <sheetView zoomScaleNormal="100" workbookViewId="0">
      <selection activeCell="K21" sqref="K21"/>
    </sheetView>
  </sheetViews>
  <sheetFormatPr baseColWidth="10" defaultRowHeight="14.4"/>
  <cols>
    <col min="5" max="5" width="12" bestFit="1" customWidth="1"/>
    <col min="10" max="10" width="13" bestFit="1" customWidth="1"/>
    <col min="11" max="11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407</v>
      </c>
      <c r="H7" s="23"/>
    </row>
    <row r="8" spans="1:8">
      <c r="A8" s="22" t="s">
        <v>1026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94" t="s">
        <v>284</v>
      </c>
      <c r="E11" s="27" t="s">
        <v>285</v>
      </c>
      <c r="F11" s="494" t="s">
        <v>286</v>
      </c>
      <c r="G11" s="493" t="s">
        <v>287</v>
      </c>
      <c r="H11" s="29"/>
    </row>
    <row r="12" spans="1:8">
      <c r="A12" s="1226" t="s">
        <v>834</v>
      </c>
      <c r="B12" s="1227"/>
      <c r="C12" s="1228"/>
      <c r="D12" s="374"/>
      <c r="E12" s="375"/>
      <c r="F12" s="382"/>
      <c r="G12" s="383">
        <f>+H41*10%</f>
        <v>15724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381">
        <f>+'EQUIPOS '!D10</f>
        <v>40267</v>
      </c>
      <c r="F13" s="381">
        <v>1</v>
      </c>
      <c r="G13" s="370">
        <f>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1" ht="15" thickBot="1">
      <c r="A17" s="1194"/>
      <c r="B17" s="1195"/>
      <c r="C17" s="1196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60136.7</v>
      </c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1209" t="s">
        <v>283</v>
      </c>
      <c r="B20" s="1210"/>
      <c r="C20" s="1211"/>
      <c r="D20" s="497" t="s">
        <v>291</v>
      </c>
      <c r="E20" s="497" t="s">
        <v>292</v>
      </c>
      <c r="F20" s="497" t="s">
        <v>293</v>
      </c>
      <c r="G20" s="388" t="s">
        <v>287</v>
      </c>
      <c r="H20" s="29"/>
    </row>
    <row r="21" spans="1:11">
      <c r="A21" s="1229" t="s">
        <v>116</v>
      </c>
      <c r="B21" s="1230"/>
      <c r="C21" s="1231"/>
      <c r="D21" s="406" t="s">
        <v>28</v>
      </c>
      <c r="E21" s="406">
        <f>MATERIALES!E14</f>
        <v>514</v>
      </c>
      <c r="F21" s="406">
        <v>350</v>
      </c>
      <c r="G21" s="500">
        <f>+E21*F21</f>
        <v>179900</v>
      </c>
      <c r="H21" s="34"/>
    </row>
    <row r="22" spans="1:11">
      <c r="A22" s="1229" t="s">
        <v>49</v>
      </c>
      <c r="B22" s="1230"/>
      <c r="C22" s="1231"/>
      <c r="D22" s="406" t="s">
        <v>835</v>
      </c>
      <c r="E22" s="406">
        <f>MATERIALES!E10</f>
        <v>51566.666666666664</v>
      </c>
      <c r="F22" s="407">
        <v>0.56000000000000005</v>
      </c>
      <c r="G22" s="500">
        <f>+E22*F22</f>
        <v>28877.333333333336</v>
      </c>
      <c r="H22" s="376"/>
      <c r="J22" s="10"/>
    </row>
    <row r="23" spans="1:11">
      <c r="A23" s="1229" t="s">
        <v>8</v>
      </c>
      <c r="B23" s="1230"/>
      <c r="C23" s="1231"/>
      <c r="D23" s="406" t="s">
        <v>835</v>
      </c>
      <c r="E23" s="406">
        <f>MATERIALES!E54</f>
        <v>81699.892283333334</v>
      </c>
      <c r="F23" s="407">
        <v>0.84</v>
      </c>
      <c r="G23" s="500">
        <f>+E23*F23</f>
        <v>68627.909518</v>
      </c>
      <c r="H23" s="376"/>
    </row>
    <row r="24" spans="1:11">
      <c r="A24" s="1229" t="s">
        <v>830</v>
      </c>
      <c r="B24" s="1230"/>
      <c r="C24" s="1231"/>
      <c r="D24" s="406" t="s">
        <v>986</v>
      </c>
      <c r="E24" s="406">
        <f>MATERIALES!E5</f>
        <v>68</v>
      </c>
      <c r="F24" s="406">
        <v>180</v>
      </c>
      <c r="G24" s="500">
        <f>+E24*F24</f>
        <v>12240</v>
      </c>
      <c r="H24" s="376"/>
    </row>
    <row r="25" spans="1:11" ht="15" thickBot="1">
      <c r="A25" s="1223" t="s">
        <v>832</v>
      </c>
      <c r="B25" s="1224"/>
      <c r="C25" s="1225"/>
      <c r="D25" s="501"/>
      <c r="E25" s="502"/>
      <c r="F25" s="503"/>
      <c r="G25" s="504">
        <f>SUM(G21:G24)*5%</f>
        <v>14482.262142566668</v>
      </c>
      <c r="H25" s="377"/>
      <c r="J25" s="10"/>
      <c r="K25" s="10"/>
    </row>
    <row r="26" spans="1:11" ht="15" thickBot="1">
      <c r="A26" s="378"/>
      <c r="B26" s="378"/>
      <c r="C26" s="378"/>
      <c r="D26" s="378"/>
      <c r="E26" s="378"/>
      <c r="F26" s="378"/>
      <c r="G26" s="379" t="s">
        <v>289</v>
      </c>
      <c r="H26" s="380">
        <f>SUM(G21:G25)</f>
        <v>304127.50499390002</v>
      </c>
    </row>
    <row r="27" spans="1:11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1">
      <c r="A28" s="1185" t="s">
        <v>295</v>
      </c>
      <c r="B28" s="1187"/>
      <c r="C28" s="55" t="s">
        <v>296</v>
      </c>
      <c r="D28" s="494" t="s">
        <v>297</v>
      </c>
      <c r="E28" s="494" t="s">
        <v>298</v>
      </c>
      <c r="F28" s="494" t="s">
        <v>299</v>
      </c>
      <c r="G28" s="56" t="s">
        <v>287</v>
      </c>
      <c r="H28" s="29"/>
    </row>
    <row r="29" spans="1:11">
      <c r="A29" s="45" t="s">
        <v>49</v>
      </c>
      <c r="B29" s="46"/>
      <c r="C29" s="386">
        <f>F22</f>
        <v>0.56000000000000005</v>
      </c>
      <c r="D29" s="58">
        <v>8</v>
      </c>
      <c r="E29" s="384">
        <f>D29*C29</f>
        <v>4.4800000000000004</v>
      </c>
      <c r="F29" s="59">
        <f>'EQUIPOS '!D18</f>
        <v>1250</v>
      </c>
      <c r="G29" s="385">
        <f>F29*E29</f>
        <v>5600.0000000000009</v>
      </c>
      <c r="H29" s="34"/>
    </row>
    <row r="30" spans="1:11">
      <c r="A30" s="45" t="s">
        <v>8</v>
      </c>
      <c r="B30" s="46"/>
      <c r="C30" s="386">
        <f>F23</f>
        <v>0.84</v>
      </c>
      <c r="D30" s="30">
        <v>8</v>
      </c>
      <c r="E30" s="384">
        <f>D30*C30</f>
        <v>6.72</v>
      </c>
      <c r="F30" s="59">
        <f>'EQUIPOS '!D18</f>
        <v>1250</v>
      </c>
      <c r="G30" s="385">
        <f>F30*E30</f>
        <v>8400</v>
      </c>
      <c r="H30" s="34"/>
    </row>
    <row r="31" spans="1:11">
      <c r="A31" s="408"/>
      <c r="B31" s="409"/>
      <c r="C31" s="410"/>
      <c r="D31" s="35"/>
      <c r="E31" s="384"/>
      <c r="F31" s="412"/>
      <c r="G31" s="385"/>
      <c r="H31" s="34"/>
    </row>
    <row r="32" spans="1:11">
      <c r="A32" s="408"/>
      <c r="B32" s="409"/>
      <c r="C32" s="410"/>
      <c r="D32" s="35"/>
      <c r="E32" s="411"/>
      <c r="F32" s="412"/>
      <c r="G32" s="413"/>
      <c r="H32" s="34"/>
    </row>
    <row r="33" spans="1:8" ht="15" thickBot="1">
      <c r="A33" s="62"/>
      <c r="B33" s="63"/>
      <c r="C33" s="38"/>
      <c r="D33" s="39"/>
      <c r="E33" s="40"/>
      <c r="F33" s="41"/>
      <c r="G33" s="38"/>
      <c r="H33" s="34"/>
    </row>
    <row r="34" spans="1:8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14000</v>
      </c>
    </row>
    <row r="35" spans="1:8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8">
      <c r="A36" s="1185" t="s">
        <v>301</v>
      </c>
      <c r="B36" s="1187"/>
      <c r="C36" s="494" t="s">
        <v>302</v>
      </c>
      <c r="D36" s="494" t="s">
        <v>303</v>
      </c>
      <c r="E36" s="85" t="s">
        <v>304</v>
      </c>
      <c r="F36" s="64" t="s">
        <v>286</v>
      </c>
      <c r="G36" s="493" t="s">
        <v>287</v>
      </c>
      <c r="H36" s="29"/>
    </row>
    <row r="37" spans="1:8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115">
        <v>0.33333088471883487</v>
      </c>
      <c r="G37" s="67">
        <f>+E37*F37</f>
        <v>30559.000000000011</v>
      </c>
      <c r="H37" s="34"/>
    </row>
    <row r="38" spans="1:8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115">
        <v>0.53657526393398125</v>
      </c>
      <c r="G38" s="67">
        <f>+E38*F38</f>
        <v>126681</v>
      </c>
      <c r="H38" s="34"/>
    </row>
    <row r="39" spans="1:8">
      <c r="A39" s="45"/>
      <c r="B39" s="46"/>
      <c r="C39" s="65"/>
      <c r="D39" s="66"/>
      <c r="E39" s="31"/>
      <c r="F39" s="31"/>
      <c r="G39" s="67"/>
      <c r="H39" s="34"/>
    </row>
    <row r="40" spans="1:8" ht="15" thickBot="1">
      <c r="A40" s="62"/>
      <c r="B40" s="68"/>
      <c r="C40" s="39"/>
      <c r="D40" s="53"/>
      <c r="E40" s="102"/>
      <c r="F40" s="53"/>
      <c r="G40" s="52"/>
      <c r="H40" s="42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157240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H18+H26+H34+H41</f>
        <v>535504.20499390003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72" t="s">
        <v>283</v>
      </c>
      <c r="B45" s="73"/>
      <c r="C45" s="73"/>
      <c r="D45" s="73"/>
      <c r="E45" s="74"/>
      <c r="F45" s="497" t="s">
        <v>308</v>
      </c>
      <c r="G45" s="496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80325.630749085001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26775.210249695003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26775.210249695003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133876.05124847501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669380</v>
      </c>
    </row>
  </sheetData>
  <mergeCells count="18">
    <mergeCell ref="A36:B36"/>
    <mergeCell ref="A14:C14"/>
    <mergeCell ref="A15:C15"/>
    <mergeCell ref="A16:C16"/>
    <mergeCell ref="A17:C17"/>
    <mergeCell ref="A20:C20"/>
    <mergeCell ref="A21:C21"/>
    <mergeCell ref="A22:C22"/>
    <mergeCell ref="A23:C23"/>
    <mergeCell ref="A24:C24"/>
    <mergeCell ref="A25:C25"/>
    <mergeCell ref="A28:B28"/>
    <mergeCell ref="A13:C13"/>
    <mergeCell ref="A3:C4"/>
    <mergeCell ref="A5:C5"/>
    <mergeCell ref="D5:H5"/>
    <mergeCell ref="A11:C11"/>
    <mergeCell ref="A12:C12"/>
  </mergeCells>
  <pageMargins left="0.7" right="0.7" top="0.75" bottom="0.75" header="0.3" footer="0.3"/>
  <pageSetup paperSize="9" scale="9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9"/>
  <sheetViews>
    <sheetView zoomScaleNormal="100" workbookViewId="0">
      <selection activeCell="G8" sqref="G8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409</v>
      </c>
      <c r="H7" s="23"/>
    </row>
    <row r="8" spans="1:8">
      <c r="A8" s="22" t="s">
        <v>1039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889</v>
      </c>
      <c r="B12" s="1218"/>
      <c r="C12" s="1219"/>
      <c r="D12" s="30"/>
      <c r="E12" s="48"/>
      <c r="F12" s="120"/>
      <c r="G12" s="33">
        <f>H39*10%</f>
        <v>16510.298999999999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59">
        <f>'EQUIPOS '!D10</f>
        <v>40267</v>
      </c>
      <c r="F13" s="30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134" t="s">
        <v>405</v>
      </c>
      <c r="B15" s="135"/>
      <c r="C15" s="133"/>
      <c r="D15" s="133" t="s">
        <v>1054</v>
      </c>
      <c r="E15" s="30">
        <f>MATERIALES!E21</f>
        <v>1392</v>
      </c>
      <c r="F15" s="30">
        <v>4</v>
      </c>
      <c r="G15" s="132">
        <f>E15*F15</f>
        <v>5568</v>
      </c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66490.998999999996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3" t="s">
        <v>291</v>
      </c>
      <c r="E19" s="143" t="s">
        <v>292</v>
      </c>
      <c r="F19" s="143" t="s">
        <v>293</v>
      </c>
      <c r="G19" s="142" t="s">
        <v>287</v>
      </c>
      <c r="H19" s="29"/>
    </row>
    <row r="20" spans="1:8">
      <c r="A20" s="86" t="s">
        <v>116</v>
      </c>
      <c r="B20" s="46"/>
      <c r="C20" s="47"/>
      <c r="D20" s="30" t="s">
        <v>28</v>
      </c>
      <c r="E20" s="483">
        <f>MATERIALES!E14</f>
        <v>514</v>
      </c>
      <c r="F20" s="30">
        <v>350</v>
      </c>
      <c r="G20" s="50">
        <f>+E20*F20</f>
        <v>179900</v>
      </c>
      <c r="H20" s="34"/>
    </row>
    <row r="21" spans="1:8">
      <c r="A21" s="86" t="s">
        <v>49</v>
      </c>
      <c r="B21" s="46"/>
      <c r="C21" s="47"/>
      <c r="D21" s="100" t="s">
        <v>9</v>
      </c>
      <c r="E21" s="482">
        <f>MATERIALES!E10</f>
        <v>51566.666666666664</v>
      </c>
      <c r="F21" s="434">
        <v>0.56000000000000005</v>
      </c>
      <c r="G21" s="50">
        <f>+E21*F21</f>
        <v>28877.333333333336</v>
      </c>
      <c r="H21" s="34"/>
    </row>
    <row r="22" spans="1:8">
      <c r="A22" s="86" t="s">
        <v>8</v>
      </c>
      <c r="B22" s="46"/>
      <c r="C22" s="47"/>
      <c r="D22" s="100" t="s">
        <v>9</v>
      </c>
      <c r="E22" s="483">
        <f>MATERIALES!E54</f>
        <v>81699.892283333334</v>
      </c>
      <c r="F22" s="59">
        <v>0.84</v>
      </c>
      <c r="G22" s="50">
        <f>+E22*F22</f>
        <v>68627.909518</v>
      </c>
      <c r="H22" s="34"/>
    </row>
    <row r="23" spans="1:8">
      <c r="A23" s="88" t="s">
        <v>830</v>
      </c>
      <c r="B23" s="88"/>
      <c r="C23" s="89"/>
      <c r="D23" s="30" t="s">
        <v>836</v>
      </c>
      <c r="E23" s="483">
        <f>MATERIALES!E5</f>
        <v>68</v>
      </c>
      <c r="F23" s="30">
        <v>180</v>
      </c>
      <c r="G23" s="33">
        <f>+E23*F23</f>
        <v>12240</v>
      </c>
      <c r="H23" s="34"/>
    </row>
    <row r="24" spans="1:8">
      <c r="A24" s="87" t="s">
        <v>832</v>
      </c>
      <c r="B24" s="88"/>
      <c r="C24" s="89"/>
      <c r="D24" s="30"/>
      <c r="E24" s="30"/>
      <c r="F24" s="416"/>
      <c r="G24" s="114">
        <f>SUM(G20:G23)*5%</f>
        <v>14482.262142566668</v>
      </c>
      <c r="H24" s="34"/>
    </row>
    <row r="25" spans="1:8" ht="15" thickBot="1">
      <c r="A25" s="51"/>
      <c r="B25" s="52"/>
      <c r="C25" s="53"/>
      <c r="D25" s="38"/>
      <c r="E25" s="38"/>
      <c r="F25" s="811"/>
      <c r="G25" s="41"/>
      <c r="H25" s="42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SUM(G20:G25)</f>
        <v>304127.50499390002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1185" t="s">
        <v>295</v>
      </c>
      <c r="B28" s="1187"/>
      <c r="C28" s="55" t="s">
        <v>296</v>
      </c>
      <c r="D28" s="141" t="s">
        <v>297</v>
      </c>
      <c r="E28" s="141" t="s">
        <v>298</v>
      </c>
      <c r="F28" s="141" t="s">
        <v>299</v>
      </c>
      <c r="G28" s="56" t="s">
        <v>287</v>
      </c>
      <c r="H28" s="29"/>
    </row>
    <row r="29" spans="1:8">
      <c r="A29" s="45" t="s">
        <v>49</v>
      </c>
      <c r="B29" s="46"/>
      <c r="C29" s="386">
        <f>F21</f>
        <v>0.56000000000000005</v>
      </c>
      <c r="D29" s="58">
        <v>8</v>
      </c>
      <c r="E29" s="58">
        <f>D29*C29</f>
        <v>4.4800000000000004</v>
      </c>
      <c r="F29" s="59">
        <f>'EQUIPOS '!D18</f>
        <v>1250</v>
      </c>
      <c r="G29" s="31">
        <f>F29*E29</f>
        <v>5600.0000000000009</v>
      </c>
      <c r="H29" s="34"/>
    </row>
    <row r="30" spans="1:8">
      <c r="A30" s="45" t="s">
        <v>8</v>
      </c>
      <c r="B30" s="46"/>
      <c r="C30" s="59">
        <f>F22</f>
        <v>0.84</v>
      </c>
      <c r="D30" s="30">
        <v>8</v>
      </c>
      <c r="E30" s="58">
        <f>D30*C30</f>
        <v>6.72</v>
      </c>
      <c r="F30" s="59">
        <f>'EQUIPOS '!D18</f>
        <v>1250</v>
      </c>
      <c r="G30" s="31">
        <f>F30*E30</f>
        <v>8400</v>
      </c>
      <c r="H30" s="34"/>
    </row>
    <row r="31" spans="1:8" ht="15" thickBot="1">
      <c r="A31" s="62"/>
      <c r="B31" s="63"/>
      <c r="C31" s="38"/>
      <c r="D31" s="39"/>
      <c r="E31" s="40"/>
      <c r="F31" s="4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14000</v>
      </c>
    </row>
    <row r="33" spans="1:14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14">
      <c r="A34" s="1185" t="s">
        <v>301</v>
      </c>
      <c r="B34" s="1187"/>
      <c r="C34" s="141" t="s">
        <v>302</v>
      </c>
      <c r="D34" s="141" t="s">
        <v>303</v>
      </c>
      <c r="E34" s="85" t="s">
        <v>304</v>
      </c>
      <c r="F34" s="64" t="s">
        <v>286</v>
      </c>
      <c r="G34" s="140" t="s">
        <v>287</v>
      </c>
      <c r="H34" s="29"/>
    </row>
    <row r="35" spans="1:14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115">
        <v>0.4</v>
      </c>
      <c r="G35" s="67">
        <f>+E35*F35</f>
        <v>36671.069379936489</v>
      </c>
      <c r="H35" s="34"/>
    </row>
    <row r="36" spans="1:14">
      <c r="A36" s="45" t="s">
        <v>408</v>
      </c>
      <c r="B36" s="46"/>
      <c r="C36" s="65">
        <f>+SALARIOS!C48*4</f>
        <v>130754.26666666666</v>
      </c>
      <c r="D36" s="66">
        <f>+SALARIOS!D48</f>
        <v>1.8056142176927319</v>
      </c>
      <c r="E36" s="31">
        <f>+C36*D36</f>
        <v>236091.76291732019</v>
      </c>
      <c r="F36" s="115">
        <v>0.54399153546513446</v>
      </c>
      <c r="G36" s="67">
        <f>+E36*F36</f>
        <v>128431.92062006349</v>
      </c>
      <c r="H36" s="34"/>
    </row>
    <row r="37" spans="1:14">
      <c r="A37" s="45"/>
      <c r="B37" s="46"/>
      <c r="C37" s="65"/>
      <c r="D37" s="66"/>
      <c r="E37" s="31"/>
      <c r="F37" s="31"/>
      <c r="G37" s="67"/>
      <c r="H37" s="34"/>
    </row>
    <row r="38" spans="1:14" ht="15" thickBot="1">
      <c r="A38" s="62"/>
      <c r="B38" s="68"/>
      <c r="C38" s="39"/>
      <c r="D38" s="53"/>
      <c r="E38" s="102"/>
      <c r="F38" s="53"/>
      <c r="G38" s="52"/>
      <c r="H38" s="42"/>
    </row>
    <row r="39" spans="1:14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165102.99</v>
      </c>
      <c r="J39" s="813"/>
      <c r="L39" s="813"/>
      <c r="N39" s="148"/>
    </row>
    <row r="40" spans="1:14" ht="15" thickBot="1">
      <c r="A40" s="23"/>
      <c r="B40" s="23"/>
      <c r="C40" s="23"/>
      <c r="D40" s="23"/>
      <c r="E40" s="23"/>
      <c r="F40" s="23"/>
      <c r="G40" s="69"/>
      <c r="H40" s="20"/>
    </row>
    <row r="41" spans="1:14" ht="15" thickBot="1">
      <c r="A41" s="23"/>
      <c r="B41" s="23"/>
      <c r="C41" s="23"/>
      <c r="D41" s="23"/>
      <c r="E41" s="70" t="s">
        <v>306</v>
      </c>
      <c r="F41" s="71"/>
      <c r="G41" s="71"/>
      <c r="H41" s="44">
        <f>H17+H26+H32+H39</f>
        <v>549721.49399390002</v>
      </c>
    </row>
    <row r="42" spans="1:14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14">
      <c r="A43" s="72" t="s">
        <v>283</v>
      </c>
      <c r="B43" s="73"/>
      <c r="C43" s="73"/>
      <c r="D43" s="73"/>
      <c r="E43" s="74"/>
      <c r="F43" s="143" t="s">
        <v>308</v>
      </c>
      <c r="G43" s="142" t="s">
        <v>309</v>
      </c>
      <c r="H43" s="29"/>
    </row>
    <row r="44" spans="1:14">
      <c r="A44" s="45" t="s">
        <v>310</v>
      </c>
      <c r="B44" s="46"/>
      <c r="C44" s="46"/>
      <c r="D44" s="46"/>
      <c r="E44" s="47"/>
      <c r="F44" s="77">
        <f>(SALARIOS!C43)</f>
        <v>0.15</v>
      </c>
      <c r="G44" s="78">
        <f>++F44*H41</f>
        <v>82458.224099084997</v>
      </c>
      <c r="H44" s="79"/>
    </row>
    <row r="45" spans="1:14">
      <c r="A45" s="45" t="s">
        <v>311</v>
      </c>
      <c r="B45" s="46"/>
      <c r="C45" s="46"/>
      <c r="D45" s="46"/>
      <c r="E45" s="47"/>
      <c r="F45" s="77">
        <f>(SALARIOS!C44)</f>
        <v>0.05</v>
      </c>
      <c r="G45" s="78">
        <f>+F45*H41</f>
        <v>27486.074699695004</v>
      </c>
      <c r="H45" s="79"/>
    </row>
    <row r="46" spans="1:14" ht="15" thickBot="1">
      <c r="A46" s="51" t="s">
        <v>312</v>
      </c>
      <c r="B46" s="52"/>
      <c r="C46" s="52"/>
      <c r="D46" s="52"/>
      <c r="E46" s="53"/>
      <c r="F46" s="80">
        <f>SALARIOS!C45</f>
        <v>0.05</v>
      </c>
      <c r="G46" s="81">
        <f>+F46*H41</f>
        <v>27486.074699695004</v>
      </c>
      <c r="H46" s="42"/>
    </row>
    <row r="47" spans="1:14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137430.373498475</v>
      </c>
    </row>
    <row r="48" spans="1:14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70" t="s">
        <v>313</v>
      </c>
      <c r="E49" s="71"/>
      <c r="F49" s="71"/>
      <c r="G49" s="71"/>
      <c r="H49" s="44">
        <f>ROUND((H41+H47),0)</f>
        <v>687152</v>
      </c>
    </row>
  </sheetData>
  <mergeCells count="11">
    <mergeCell ref="A34:B34"/>
    <mergeCell ref="A3:C4"/>
    <mergeCell ref="A5:C5"/>
    <mergeCell ref="D5:H5"/>
    <mergeCell ref="A11:C11"/>
    <mergeCell ref="A12:C12"/>
    <mergeCell ref="A16:C16"/>
    <mergeCell ref="A19:C19"/>
    <mergeCell ref="A28:B28"/>
    <mergeCell ref="A13:C13"/>
    <mergeCell ref="A14:C14"/>
  </mergeCells>
  <pageMargins left="0.7" right="0.7" top="0.75" bottom="0.75" header="0.3" footer="0.3"/>
  <pageSetup paperSize="9" scale="9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1"/>
  <sheetViews>
    <sheetView workbookViewId="0">
      <selection activeCell="O40" sqref="O40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410</v>
      </c>
      <c r="H7" s="23"/>
    </row>
    <row r="8" spans="1:8">
      <c r="A8" s="22" t="s">
        <v>1040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H41*10%</f>
        <v>16695.020000000008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48">
        <f>'EQUIPOS '!D10</f>
        <v>40267</v>
      </c>
      <c r="F13" s="59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561">
        <f>'EQUIPOS '!D16</f>
        <v>41457</v>
      </c>
      <c r="F14" s="59">
        <v>0.1</v>
      </c>
      <c r="G14" s="370">
        <f>E14*F14</f>
        <v>4145.7</v>
      </c>
      <c r="H14" s="34"/>
    </row>
    <row r="15" spans="1:8">
      <c r="A15" s="135" t="s">
        <v>1069</v>
      </c>
      <c r="B15" s="135"/>
      <c r="C15" s="133"/>
      <c r="D15" s="100" t="s">
        <v>1054</v>
      </c>
      <c r="E15" s="561">
        <f>MATERIALES!E49</f>
        <v>4666.670000000001</v>
      </c>
      <c r="F15" s="59">
        <v>2.64</v>
      </c>
      <c r="G15" s="132">
        <f>E15*F15</f>
        <v>12320.008800000003</v>
      </c>
      <c r="H15" s="34"/>
    </row>
    <row r="16" spans="1:8">
      <c r="A16" s="135" t="s">
        <v>1070</v>
      </c>
      <c r="B16" s="135"/>
      <c r="C16" s="133"/>
      <c r="D16" s="100" t="s">
        <v>1054</v>
      </c>
      <c r="E16" s="561">
        <f>MATERIALES!E30</f>
        <v>1300</v>
      </c>
      <c r="F16" s="59">
        <v>7.26</v>
      </c>
      <c r="G16" s="132">
        <f>E16*F16</f>
        <v>9438</v>
      </c>
      <c r="H16" s="34"/>
    </row>
    <row r="17" spans="1:8">
      <c r="A17" s="135" t="s">
        <v>1071</v>
      </c>
      <c r="B17" s="135"/>
      <c r="C17" s="133"/>
      <c r="D17" s="100" t="s">
        <v>139</v>
      </c>
      <c r="E17" s="561">
        <f>MATERIALES!E42</f>
        <v>2588.3333333333335</v>
      </c>
      <c r="F17" s="59">
        <v>5</v>
      </c>
      <c r="G17" s="132">
        <f>E17*F17</f>
        <v>12941.666666666668</v>
      </c>
      <c r="H17" s="34"/>
    </row>
    <row r="18" spans="1:8" ht="15" thickBot="1">
      <c r="A18" s="1194"/>
      <c r="B18" s="1195"/>
      <c r="C18" s="1196"/>
      <c r="D18" s="38"/>
      <c r="E18" s="39"/>
      <c r="F18" s="40"/>
      <c r="G18" s="41"/>
      <c r="H18" s="42"/>
    </row>
    <row r="19" spans="1:8" ht="15" thickBot="1">
      <c r="A19" s="23"/>
      <c r="B19" s="23"/>
      <c r="C19" s="23"/>
      <c r="D19" s="23"/>
      <c r="E19" s="23"/>
      <c r="F19" s="23"/>
      <c r="G19" s="43" t="s">
        <v>289</v>
      </c>
      <c r="H19" s="44">
        <f>SUM(G12:G18)</f>
        <v>95807.395466666683</v>
      </c>
    </row>
    <row r="20" spans="1:8" ht="15" thickBot="1">
      <c r="A20" s="25" t="s">
        <v>290</v>
      </c>
      <c r="B20" s="25"/>
      <c r="C20" s="23"/>
      <c r="D20" s="23"/>
      <c r="E20" s="23"/>
      <c r="F20" s="23"/>
      <c r="G20" s="23"/>
      <c r="H20" s="23"/>
    </row>
    <row r="21" spans="1:8">
      <c r="A21" s="1232" t="s">
        <v>283</v>
      </c>
      <c r="B21" s="1233"/>
      <c r="C21" s="1234"/>
      <c r="D21" s="143" t="s">
        <v>291</v>
      </c>
      <c r="E21" s="143" t="s">
        <v>292</v>
      </c>
      <c r="F21" s="143" t="s">
        <v>293</v>
      </c>
      <c r="G21" s="142" t="s">
        <v>287</v>
      </c>
      <c r="H21" s="29"/>
    </row>
    <row r="22" spans="1:8">
      <c r="A22" s="86" t="s">
        <v>116</v>
      </c>
      <c r="B22" s="46"/>
      <c r="C22" s="47"/>
      <c r="D22" s="30" t="s">
        <v>28</v>
      </c>
      <c r="E22" s="483">
        <f>MATERIALES!E14</f>
        <v>514</v>
      </c>
      <c r="F22" s="30">
        <v>350</v>
      </c>
      <c r="G22" s="50">
        <f>+E22*F22</f>
        <v>179900</v>
      </c>
      <c r="H22" s="34"/>
    </row>
    <row r="23" spans="1:8">
      <c r="A23" s="86" t="s">
        <v>49</v>
      </c>
      <c r="B23" s="46"/>
      <c r="C23" s="47"/>
      <c r="D23" s="100" t="s">
        <v>9</v>
      </c>
      <c r="E23" s="482">
        <f>MATERIALES!E10</f>
        <v>51566.666666666664</v>
      </c>
      <c r="F23" s="434">
        <v>0.56000000000000005</v>
      </c>
      <c r="G23" s="50">
        <f>+E23*F23</f>
        <v>28877.333333333336</v>
      </c>
      <c r="H23" s="34"/>
    </row>
    <row r="24" spans="1:8">
      <c r="A24" s="86" t="s">
        <v>8</v>
      </c>
      <c r="B24" s="46"/>
      <c r="C24" s="47"/>
      <c r="D24" s="100" t="s">
        <v>9</v>
      </c>
      <c r="E24" s="483">
        <f>MATERIALES!E54</f>
        <v>81699.892283333334</v>
      </c>
      <c r="F24" s="59">
        <v>0.84</v>
      </c>
      <c r="G24" s="50">
        <f>+E24*F24</f>
        <v>68627.909518</v>
      </c>
      <c r="H24" s="34"/>
    </row>
    <row r="25" spans="1:8">
      <c r="A25" s="88" t="s">
        <v>830</v>
      </c>
      <c r="B25" s="88"/>
      <c r="C25" s="89"/>
      <c r="D25" s="30" t="s">
        <v>836</v>
      </c>
      <c r="E25" s="483">
        <f>MATERIALES!E5</f>
        <v>68</v>
      </c>
      <c r="F25" s="30">
        <v>180</v>
      </c>
      <c r="G25" s="33">
        <f>+E25*F25</f>
        <v>12240</v>
      </c>
      <c r="H25" s="34"/>
    </row>
    <row r="26" spans="1:8">
      <c r="A26" s="87" t="s">
        <v>832</v>
      </c>
      <c r="B26" s="88"/>
      <c r="C26" s="89"/>
      <c r="D26" s="30"/>
      <c r="E26" s="30"/>
      <c r="F26" s="416"/>
      <c r="G26" s="114">
        <f>SUM(G22:G25)*5%</f>
        <v>14482.262142566668</v>
      </c>
      <c r="H26" s="34"/>
    </row>
    <row r="27" spans="1:8" ht="15" thickBot="1">
      <c r="A27" s="51"/>
      <c r="B27" s="52"/>
      <c r="C27" s="53"/>
      <c r="D27" s="38"/>
      <c r="E27" s="38"/>
      <c r="F27" s="170"/>
      <c r="G27" s="41"/>
      <c r="H27" s="42"/>
    </row>
    <row r="28" spans="1:8" ht="15" thickBot="1">
      <c r="A28" s="23"/>
      <c r="B28" s="23"/>
      <c r="C28" s="23"/>
      <c r="D28" s="23"/>
      <c r="E28" s="23"/>
      <c r="F28" s="23"/>
      <c r="G28" s="43" t="s">
        <v>289</v>
      </c>
      <c r="H28" s="44">
        <f>SUM(G22:G27)</f>
        <v>304127.50499390002</v>
      </c>
    </row>
    <row r="29" spans="1:8" ht="15" thickBot="1">
      <c r="A29" s="54" t="s">
        <v>294</v>
      </c>
      <c r="B29" s="54"/>
      <c r="C29" s="52"/>
      <c r="D29" s="23"/>
      <c r="E29" s="23"/>
      <c r="F29" s="23"/>
      <c r="G29" s="23"/>
      <c r="H29" s="23"/>
    </row>
    <row r="30" spans="1:8">
      <c r="A30" s="1185" t="s">
        <v>295</v>
      </c>
      <c r="B30" s="1187"/>
      <c r="C30" s="55" t="s">
        <v>296</v>
      </c>
      <c r="D30" s="141" t="s">
        <v>297</v>
      </c>
      <c r="E30" s="141" t="s">
        <v>298</v>
      </c>
      <c r="F30" s="141" t="s">
        <v>299</v>
      </c>
      <c r="G30" s="56" t="s">
        <v>287</v>
      </c>
      <c r="H30" s="29"/>
    </row>
    <row r="31" spans="1:8">
      <c r="A31" s="45" t="s">
        <v>49</v>
      </c>
      <c r="B31" s="46"/>
      <c r="C31" s="386">
        <f>F23</f>
        <v>0.56000000000000005</v>
      </c>
      <c r="D31" s="58">
        <v>8</v>
      </c>
      <c r="E31" s="58">
        <f>D31*C31</f>
        <v>4.4800000000000004</v>
      </c>
      <c r="F31" s="59">
        <f>'EQUIPOS '!D18</f>
        <v>1250</v>
      </c>
      <c r="G31" s="31">
        <f>F31*E31</f>
        <v>5600.0000000000009</v>
      </c>
      <c r="H31" s="34"/>
    </row>
    <row r="32" spans="1:8">
      <c r="A32" s="45" t="s">
        <v>8</v>
      </c>
      <c r="B32" s="46"/>
      <c r="C32" s="59">
        <f>F24</f>
        <v>0.84</v>
      </c>
      <c r="D32" s="30">
        <v>8</v>
      </c>
      <c r="E32" s="58">
        <f>D32*C32</f>
        <v>6.72</v>
      </c>
      <c r="F32" s="59">
        <f>'EQUIPOS '!D18</f>
        <v>1250</v>
      </c>
      <c r="G32" s="31">
        <f>F32*E32</f>
        <v>8400</v>
      </c>
      <c r="H32" s="34"/>
    </row>
    <row r="33" spans="1:12" ht="15" thickBot="1">
      <c r="A33" s="62"/>
      <c r="B33" s="63"/>
      <c r="C33" s="38"/>
      <c r="D33" s="39"/>
      <c r="E33" s="40"/>
      <c r="F33" s="41"/>
      <c r="G33" s="38"/>
      <c r="H33" s="34"/>
    </row>
    <row r="34" spans="1:12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SUM(G31:G33)</f>
        <v>14000</v>
      </c>
    </row>
    <row r="35" spans="1:12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2">
      <c r="A36" s="1185" t="s">
        <v>301</v>
      </c>
      <c r="B36" s="1187"/>
      <c r="C36" s="141" t="s">
        <v>302</v>
      </c>
      <c r="D36" s="141" t="s">
        <v>303</v>
      </c>
      <c r="E36" s="85" t="s">
        <v>304</v>
      </c>
      <c r="F36" s="64" t="s">
        <v>286</v>
      </c>
      <c r="G36" s="140" t="s">
        <v>287</v>
      </c>
      <c r="H36" s="29"/>
    </row>
    <row r="37" spans="1:12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0.38586493899943747</v>
      </c>
      <c r="G37" s="67">
        <f>+E37*F37</f>
        <v>35375.199873333324</v>
      </c>
      <c r="H37" s="34"/>
    </row>
    <row r="38" spans="1:12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31">
        <v>0.35505986724897465</v>
      </c>
      <c r="G38" s="67">
        <f>+E38*F38</f>
        <v>83826.710000000094</v>
      </c>
      <c r="H38" s="34"/>
    </row>
    <row r="39" spans="1:12">
      <c r="A39" s="45" t="s">
        <v>412</v>
      </c>
      <c r="B39" s="46"/>
      <c r="C39" s="65">
        <f>+SALARIOS!C50</f>
        <v>73150.25</v>
      </c>
      <c r="D39" s="66">
        <f>+SALARIOS!D50</f>
        <v>1.6318566965480863</v>
      </c>
      <c r="E39" s="31">
        <f>+C39*D39</f>
        <v>119370.72531666665</v>
      </c>
      <c r="F39" s="31">
        <v>0.4</v>
      </c>
      <c r="G39" s="67">
        <f>+E39*F39</f>
        <v>47748.290126666659</v>
      </c>
      <c r="H39" s="34"/>
    </row>
    <row r="40" spans="1:12" ht="15" thickBot="1">
      <c r="A40" s="62"/>
      <c r="B40" s="68"/>
      <c r="C40" s="39"/>
      <c r="D40" s="53"/>
      <c r="E40" s="102"/>
      <c r="F40" s="53"/>
      <c r="G40" s="52"/>
      <c r="H40" s="42"/>
    </row>
    <row r="41" spans="1:12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166950.20000000007</v>
      </c>
      <c r="J41" s="813"/>
      <c r="L41" s="148"/>
    </row>
    <row r="42" spans="1:12" ht="15" thickBot="1">
      <c r="A42" s="23"/>
      <c r="B42" s="23"/>
      <c r="C42" s="23"/>
      <c r="D42" s="23"/>
      <c r="E42" s="23"/>
      <c r="F42" s="23"/>
      <c r="G42" s="69"/>
      <c r="H42" s="20"/>
    </row>
    <row r="43" spans="1:12" ht="15" thickBot="1">
      <c r="A43" s="23"/>
      <c r="B43" s="23"/>
      <c r="C43" s="23"/>
      <c r="D43" s="23"/>
      <c r="E43" s="70" t="s">
        <v>306</v>
      </c>
      <c r="F43" s="71"/>
      <c r="G43" s="71"/>
      <c r="H43" s="44">
        <f>H19+H28+H34+H41</f>
        <v>580885.10046056681</v>
      </c>
      <c r="K43" s="813"/>
    </row>
    <row r="44" spans="1:12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2">
      <c r="A45" s="72" t="s">
        <v>283</v>
      </c>
      <c r="B45" s="73"/>
      <c r="C45" s="73"/>
      <c r="D45" s="73"/>
      <c r="E45" s="74"/>
      <c r="F45" s="143" t="s">
        <v>308</v>
      </c>
      <c r="G45" s="142" t="s">
        <v>309</v>
      </c>
      <c r="H45" s="29"/>
    </row>
    <row r="46" spans="1:12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87132.765069085013</v>
      </c>
      <c r="H46" s="79"/>
    </row>
    <row r="47" spans="1:12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29044.255023028341</v>
      </c>
      <c r="H47" s="79"/>
    </row>
    <row r="48" spans="1:12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29044.255023028341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145221.2751151417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726106</v>
      </c>
    </row>
  </sheetData>
  <mergeCells count="11">
    <mergeCell ref="A36:B36"/>
    <mergeCell ref="A3:C4"/>
    <mergeCell ref="A5:C5"/>
    <mergeCell ref="D5:H5"/>
    <mergeCell ref="A11:C11"/>
    <mergeCell ref="A12:C12"/>
    <mergeCell ref="A18:C18"/>
    <mergeCell ref="A21:C21"/>
    <mergeCell ref="A30:B30"/>
    <mergeCell ref="A13:C13"/>
    <mergeCell ref="A14:C1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1"/>
  <sheetViews>
    <sheetView workbookViewId="0">
      <selection activeCell="M21" sqref="M21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411</v>
      </c>
      <c r="H7" s="23"/>
    </row>
    <row r="8" spans="1:8">
      <c r="A8" s="22" t="s">
        <v>1041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H41*10%</f>
        <v>15724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31">
        <f>'EQUIPOS '!D10</f>
        <v>40267</v>
      </c>
      <c r="F13" s="30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561">
        <f>'EQUIPOS '!D16</f>
        <v>41457</v>
      </c>
      <c r="F14" s="115">
        <v>0.1</v>
      </c>
      <c r="G14" s="370">
        <f>E14*F14</f>
        <v>4145.7</v>
      </c>
      <c r="H14" s="34"/>
    </row>
    <row r="15" spans="1:8">
      <c r="A15" s="134" t="s">
        <v>405</v>
      </c>
      <c r="B15" s="135"/>
      <c r="C15" s="133"/>
      <c r="D15" s="133" t="s">
        <v>1054</v>
      </c>
      <c r="E15" s="132">
        <f>MATERIALES!E21</f>
        <v>1392</v>
      </c>
      <c r="F15" s="59">
        <v>2</v>
      </c>
      <c r="G15" s="132">
        <f>E15*F15</f>
        <v>2784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62920.7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3" t="s">
        <v>291</v>
      </c>
      <c r="E20" s="143" t="s">
        <v>292</v>
      </c>
      <c r="F20" s="143" t="s">
        <v>293</v>
      </c>
      <c r="G20" s="142" t="s">
        <v>287</v>
      </c>
      <c r="H20" s="29"/>
    </row>
    <row r="21" spans="1:8">
      <c r="A21" s="86" t="s">
        <v>116</v>
      </c>
      <c r="B21" s="46"/>
      <c r="C21" s="47"/>
      <c r="D21" s="30" t="s">
        <v>28</v>
      </c>
      <c r="E21" s="483">
        <f>MATERIALES!E14</f>
        <v>514</v>
      </c>
      <c r="F21" s="30">
        <v>350</v>
      </c>
      <c r="G21" s="50">
        <f>+E21*F21</f>
        <v>179900</v>
      </c>
      <c r="H21" s="34"/>
    </row>
    <row r="22" spans="1:8">
      <c r="A22" s="86" t="s">
        <v>49</v>
      </c>
      <c r="B22" s="46"/>
      <c r="C22" s="47"/>
      <c r="D22" s="100" t="s">
        <v>9</v>
      </c>
      <c r="E22" s="482">
        <f>MATERIALES!E10</f>
        <v>51566.666666666664</v>
      </c>
      <c r="F22" s="434">
        <v>0.56000000000000005</v>
      </c>
      <c r="G22" s="50">
        <f>+E22*F22</f>
        <v>28877.333333333336</v>
      </c>
      <c r="H22" s="34"/>
    </row>
    <row r="23" spans="1:8">
      <c r="A23" s="86" t="s">
        <v>8</v>
      </c>
      <c r="B23" s="46"/>
      <c r="C23" s="47"/>
      <c r="D23" s="100" t="s">
        <v>9</v>
      </c>
      <c r="E23" s="483">
        <f>MATERIALES!E54</f>
        <v>81699.892283333334</v>
      </c>
      <c r="F23" s="59">
        <v>0.84</v>
      </c>
      <c r="G23" s="50">
        <f>+E23*F23</f>
        <v>68627.909518</v>
      </c>
      <c r="H23" s="34"/>
    </row>
    <row r="24" spans="1:8">
      <c r="A24" s="88" t="s">
        <v>830</v>
      </c>
      <c r="B24" s="88"/>
      <c r="C24" s="89"/>
      <c r="D24" s="30" t="s">
        <v>836</v>
      </c>
      <c r="E24" s="483">
        <f>MATERIALES!E5</f>
        <v>68</v>
      </c>
      <c r="F24" s="30">
        <v>180</v>
      </c>
      <c r="G24" s="33">
        <f>+E24*F24</f>
        <v>12240</v>
      </c>
      <c r="H24" s="34"/>
    </row>
    <row r="25" spans="1:8">
      <c r="A25" s="86" t="s">
        <v>129</v>
      </c>
      <c r="B25" s="46"/>
      <c r="C25" s="47"/>
      <c r="D25" s="30" t="s">
        <v>28</v>
      </c>
      <c r="E25" s="483">
        <f>+MATERIALES!E26</f>
        <v>8270</v>
      </c>
      <c r="F25" s="115">
        <v>1.9</v>
      </c>
      <c r="G25" s="33">
        <f>+E25*F25</f>
        <v>15713</v>
      </c>
      <c r="H25" s="34"/>
    </row>
    <row r="26" spans="1:8">
      <c r="A26" s="87" t="s">
        <v>832</v>
      </c>
      <c r="B26" s="88"/>
      <c r="C26" s="89"/>
      <c r="D26" s="90"/>
      <c r="E26" s="91"/>
      <c r="F26" s="92"/>
      <c r="G26" s="114">
        <f>SUM(G21:G25)*5%</f>
        <v>15267.912142566667</v>
      </c>
      <c r="H26" s="34"/>
    </row>
    <row r="27" spans="1:8" ht="15" thickBot="1">
      <c r="A27" s="51"/>
      <c r="B27" s="52"/>
      <c r="C27" s="53"/>
      <c r="D27" s="38"/>
      <c r="E27" s="39"/>
      <c r="F27" s="40"/>
      <c r="G27" s="41"/>
      <c r="H27" s="42"/>
    </row>
    <row r="28" spans="1:8" ht="15" thickBot="1">
      <c r="A28" s="23"/>
      <c r="B28" s="23"/>
      <c r="C28" s="23"/>
      <c r="D28" s="23"/>
      <c r="E28" s="23"/>
      <c r="F28" s="23"/>
      <c r="G28" s="43" t="s">
        <v>289</v>
      </c>
      <c r="H28" s="44">
        <f>SUM(G21:G27)</f>
        <v>320626.15499389998</v>
      </c>
    </row>
    <row r="29" spans="1:8" ht="15" thickBot="1">
      <c r="A29" s="54" t="s">
        <v>294</v>
      </c>
      <c r="B29" s="54"/>
      <c r="C29" s="52"/>
      <c r="D29" s="23"/>
      <c r="E29" s="23"/>
      <c r="F29" s="23"/>
      <c r="G29" s="23"/>
      <c r="H29" s="23"/>
    </row>
    <row r="30" spans="1:8">
      <c r="A30" s="1185" t="s">
        <v>295</v>
      </c>
      <c r="B30" s="1187"/>
      <c r="C30" s="55" t="s">
        <v>296</v>
      </c>
      <c r="D30" s="141" t="s">
        <v>297</v>
      </c>
      <c r="E30" s="141" t="s">
        <v>298</v>
      </c>
      <c r="F30" s="141" t="s">
        <v>299</v>
      </c>
      <c r="G30" s="56" t="s">
        <v>287</v>
      </c>
      <c r="H30" s="29"/>
    </row>
    <row r="31" spans="1:8">
      <c r="A31" s="45" t="s">
        <v>49</v>
      </c>
      <c r="B31" s="46"/>
      <c r="C31" s="386">
        <f>F22</f>
        <v>0.56000000000000005</v>
      </c>
      <c r="D31" s="58">
        <v>8</v>
      </c>
      <c r="E31" s="58">
        <f>D31*C31</f>
        <v>4.4800000000000004</v>
      </c>
      <c r="F31" s="59">
        <f>'EQUIPOS '!D18</f>
        <v>1250</v>
      </c>
      <c r="G31" s="31">
        <f>F31*E31</f>
        <v>5600.0000000000009</v>
      </c>
      <c r="H31" s="34"/>
    </row>
    <row r="32" spans="1:8">
      <c r="A32" s="45" t="s">
        <v>8</v>
      </c>
      <c r="B32" s="46"/>
      <c r="C32" s="59">
        <f>F23</f>
        <v>0.84</v>
      </c>
      <c r="D32" s="30">
        <v>8</v>
      </c>
      <c r="E32" s="58">
        <f>D32*C32</f>
        <v>6.72</v>
      </c>
      <c r="F32" s="59">
        <f>'EQUIPOS '!D18</f>
        <v>1250</v>
      </c>
      <c r="G32" s="31">
        <f>F32*E32</f>
        <v>8400</v>
      </c>
      <c r="H32" s="34"/>
    </row>
    <row r="33" spans="1:8" ht="15" thickBot="1">
      <c r="A33" s="62"/>
      <c r="B33" s="63"/>
      <c r="C33" s="38"/>
      <c r="D33" s="39"/>
      <c r="E33" s="40"/>
      <c r="F33" s="41"/>
      <c r="G33" s="38"/>
      <c r="H33" s="34"/>
    </row>
    <row r="34" spans="1:8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SUM(G31:G33)</f>
        <v>14000</v>
      </c>
    </row>
    <row r="35" spans="1:8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8">
      <c r="A36" s="1185" t="s">
        <v>301</v>
      </c>
      <c r="B36" s="1187"/>
      <c r="C36" s="141" t="s">
        <v>302</v>
      </c>
      <c r="D36" s="141" t="s">
        <v>303</v>
      </c>
      <c r="E36" s="85" t="s">
        <v>304</v>
      </c>
      <c r="F36" s="64" t="s">
        <v>286</v>
      </c>
      <c r="G36" s="140" t="s">
        <v>287</v>
      </c>
      <c r="H36" s="29"/>
    </row>
    <row r="37" spans="1:8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115">
        <v>0.33333088471883487</v>
      </c>
      <c r="G37" s="67">
        <f>+E37*F37</f>
        <v>30559.000000000011</v>
      </c>
      <c r="H37" s="34"/>
    </row>
    <row r="38" spans="1:8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115">
        <v>0.53657526393398125</v>
      </c>
      <c r="G38" s="67">
        <f>+E38*F38</f>
        <v>126681</v>
      </c>
      <c r="H38" s="34"/>
    </row>
    <row r="39" spans="1:8">
      <c r="A39" s="45"/>
      <c r="B39" s="46"/>
      <c r="C39" s="65"/>
      <c r="D39" s="66"/>
      <c r="E39" s="31"/>
      <c r="F39" s="31"/>
      <c r="G39" s="67"/>
      <c r="H39" s="34"/>
    </row>
    <row r="40" spans="1:8" ht="15" thickBot="1">
      <c r="A40" s="62"/>
      <c r="B40" s="68"/>
      <c r="C40" s="39"/>
      <c r="D40" s="53"/>
      <c r="E40" s="102"/>
      <c r="F40" s="53"/>
      <c r="G40" s="52"/>
      <c r="H40" s="42"/>
    </row>
    <row r="41" spans="1:8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157240</v>
      </c>
    </row>
    <row r="42" spans="1:8" ht="15" thickBot="1">
      <c r="A42" s="23"/>
      <c r="B42" s="23"/>
      <c r="C42" s="23"/>
      <c r="D42" s="23"/>
      <c r="E42" s="23"/>
      <c r="F42" s="23"/>
      <c r="G42" s="69"/>
      <c r="H42" s="20"/>
    </row>
    <row r="43" spans="1:8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H18+H28+H34+H41</f>
        <v>554786.85499390005</v>
      </c>
    </row>
    <row r="44" spans="1:8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8">
      <c r="A45" s="72" t="s">
        <v>283</v>
      </c>
      <c r="B45" s="73"/>
      <c r="C45" s="73"/>
      <c r="D45" s="73"/>
      <c r="E45" s="74"/>
      <c r="F45" s="143" t="s">
        <v>308</v>
      </c>
      <c r="G45" s="142" t="s">
        <v>309</v>
      </c>
      <c r="H45" s="29"/>
    </row>
    <row r="46" spans="1:8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83218.028249085008</v>
      </c>
      <c r="H46" s="79"/>
    </row>
    <row r="47" spans="1:8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27739.342749695003</v>
      </c>
      <c r="H47" s="79"/>
    </row>
    <row r="48" spans="1:8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27739.342749695003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138696.71374847501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693484</v>
      </c>
    </row>
  </sheetData>
  <mergeCells count="12">
    <mergeCell ref="A36:B36"/>
    <mergeCell ref="A3:C4"/>
    <mergeCell ref="A5:C5"/>
    <mergeCell ref="D5:H5"/>
    <mergeCell ref="A11:C11"/>
    <mergeCell ref="A12:C12"/>
    <mergeCell ref="A16:C16"/>
    <mergeCell ref="A17:C17"/>
    <mergeCell ref="A20:C20"/>
    <mergeCell ref="A30:B30"/>
    <mergeCell ref="A13:C13"/>
    <mergeCell ref="A14:C1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1"/>
  <sheetViews>
    <sheetView zoomScaleNormal="100" workbookViewId="0">
      <selection activeCell="M24" sqref="M24"/>
    </sheetView>
  </sheetViews>
  <sheetFormatPr baseColWidth="10" defaultRowHeight="14.4"/>
  <cols>
    <col min="5" max="5" width="12" bestFit="1" customWidth="1"/>
    <col min="10" max="10" width="13" bestFit="1" customWidth="1"/>
    <col min="11" max="11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413</v>
      </c>
      <c r="H7" s="23"/>
    </row>
    <row r="8" spans="1:8">
      <c r="A8" s="22" t="s">
        <v>1044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90" t="s">
        <v>284</v>
      </c>
      <c r="E11" s="27" t="s">
        <v>285</v>
      </c>
      <c r="F11" s="490" t="s">
        <v>286</v>
      </c>
      <c r="G11" s="489" t="s">
        <v>287</v>
      </c>
      <c r="H11" s="29"/>
    </row>
    <row r="12" spans="1:8">
      <c r="A12" s="1226" t="s">
        <v>834</v>
      </c>
      <c r="B12" s="1227"/>
      <c r="C12" s="1228"/>
      <c r="D12" s="374"/>
      <c r="E12" s="375"/>
      <c r="F12" s="382"/>
      <c r="G12" s="383">
        <f>+H41*10%</f>
        <v>16981.899999999998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414">
        <f>+'EQUIPOS '!D10</f>
        <v>40267</v>
      </c>
      <c r="F13" s="414">
        <v>1</v>
      </c>
      <c r="G13" s="370">
        <f>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59">
        <v>0.1</v>
      </c>
      <c r="G14" s="370">
        <f>E14*F14</f>
        <v>4145.7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1" ht="15" thickBot="1">
      <c r="A17" s="1194"/>
      <c r="B17" s="1195"/>
      <c r="C17" s="1196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61394.599999999991</v>
      </c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1209" t="s">
        <v>283</v>
      </c>
      <c r="B20" s="1210"/>
      <c r="C20" s="1211"/>
      <c r="D20" s="497" t="s">
        <v>291</v>
      </c>
      <c r="E20" s="497" t="s">
        <v>292</v>
      </c>
      <c r="F20" s="497" t="s">
        <v>293</v>
      </c>
      <c r="G20" s="388" t="s">
        <v>287</v>
      </c>
      <c r="H20" s="29"/>
    </row>
    <row r="21" spans="1:11">
      <c r="A21" s="1229" t="s">
        <v>116</v>
      </c>
      <c r="B21" s="1230"/>
      <c r="C21" s="1231"/>
      <c r="D21" s="406" t="s">
        <v>28</v>
      </c>
      <c r="E21" s="406">
        <f>MATERIALES!E14</f>
        <v>514</v>
      </c>
      <c r="F21" s="406">
        <v>420</v>
      </c>
      <c r="G21" s="500">
        <f>+E21*F21</f>
        <v>215880</v>
      </c>
      <c r="H21" s="34"/>
    </row>
    <row r="22" spans="1:11">
      <c r="A22" s="1229" t="s">
        <v>49</v>
      </c>
      <c r="B22" s="1230"/>
      <c r="C22" s="1231"/>
      <c r="D22" s="406" t="s">
        <v>835</v>
      </c>
      <c r="E22" s="406">
        <f>MATERIALES!E10</f>
        <v>51566.666666666664</v>
      </c>
      <c r="F22" s="407">
        <v>0.67</v>
      </c>
      <c r="G22" s="500">
        <f>+E22*F22</f>
        <v>34549.666666666664</v>
      </c>
      <c r="H22" s="376"/>
      <c r="J22" s="10"/>
    </row>
    <row r="23" spans="1:11">
      <c r="A23" s="1229" t="s">
        <v>8</v>
      </c>
      <c r="B23" s="1230"/>
      <c r="C23" s="1231"/>
      <c r="D23" s="406" t="s">
        <v>835</v>
      </c>
      <c r="E23" s="406">
        <f>MATERIALES!E54</f>
        <v>81699.892283333334</v>
      </c>
      <c r="F23" s="407">
        <v>0.67</v>
      </c>
      <c r="G23" s="500">
        <f>+E23*F23</f>
        <v>54738.927829833337</v>
      </c>
      <c r="H23" s="376"/>
    </row>
    <row r="24" spans="1:11">
      <c r="A24" s="1229" t="s">
        <v>830</v>
      </c>
      <c r="B24" s="1230"/>
      <c r="C24" s="1231"/>
      <c r="D24" s="406" t="s">
        <v>986</v>
      </c>
      <c r="E24" s="406">
        <f>MATERIALES!E5</f>
        <v>68</v>
      </c>
      <c r="F24" s="406">
        <v>250</v>
      </c>
      <c r="G24" s="500">
        <f>+E24*F24</f>
        <v>17000</v>
      </c>
      <c r="H24" s="376"/>
    </row>
    <row r="25" spans="1:11" ht="15" thickBot="1">
      <c r="A25" s="1223" t="s">
        <v>832</v>
      </c>
      <c r="B25" s="1224"/>
      <c r="C25" s="1225"/>
      <c r="D25" s="501"/>
      <c r="E25" s="502"/>
      <c r="F25" s="503"/>
      <c r="G25" s="504">
        <f>SUM(G21:G24)*5%</f>
        <v>16108.429724825</v>
      </c>
      <c r="H25" s="377"/>
      <c r="J25" s="10"/>
      <c r="K25" s="10"/>
    </row>
    <row r="26" spans="1:11" ht="15" thickBot="1">
      <c r="A26" s="378"/>
      <c r="B26" s="378"/>
      <c r="C26" s="378"/>
      <c r="D26" s="378"/>
      <c r="E26" s="378"/>
      <c r="F26" s="378"/>
      <c r="G26" s="379" t="s">
        <v>289</v>
      </c>
      <c r="H26" s="380">
        <f>SUM(G21:G25)</f>
        <v>338277.024221325</v>
      </c>
    </row>
    <row r="27" spans="1:11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1">
      <c r="A28" s="1185" t="s">
        <v>295</v>
      </c>
      <c r="B28" s="1187"/>
      <c r="C28" s="55" t="s">
        <v>296</v>
      </c>
      <c r="D28" s="490" t="s">
        <v>297</v>
      </c>
      <c r="E28" s="490" t="s">
        <v>298</v>
      </c>
      <c r="F28" s="490" t="s">
        <v>299</v>
      </c>
      <c r="G28" s="56" t="s">
        <v>287</v>
      </c>
      <c r="H28" s="29"/>
    </row>
    <row r="29" spans="1:11">
      <c r="A29" s="45" t="s">
        <v>49</v>
      </c>
      <c r="B29" s="46"/>
      <c r="C29" s="386">
        <f>F22</f>
        <v>0.67</v>
      </c>
      <c r="D29" s="58">
        <v>8</v>
      </c>
      <c r="E29" s="384">
        <f>D29*C29</f>
        <v>5.36</v>
      </c>
      <c r="F29" s="59">
        <f>'EQUIPOS '!D18</f>
        <v>1250</v>
      </c>
      <c r="G29" s="385">
        <f>F29*E29</f>
        <v>6700</v>
      </c>
      <c r="H29" s="34"/>
    </row>
    <row r="30" spans="1:11">
      <c r="A30" s="45" t="s">
        <v>8</v>
      </c>
      <c r="B30" s="46"/>
      <c r="C30" s="386">
        <f>F23</f>
        <v>0.67</v>
      </c>
      <c r="D30" s="30">
        <v>8</v>
      </c>
      <c r="E30" s="384">
        <f>D30*C30</f>
        <v>5.36</v>
      </c>
      <c r="F30" s="59">
        <f>'EQUIPOS '!D18</f>
        <v>1250</v>
      </c>
      <c r="G30" s="385">
        <f>F30*E30</f>
        <v>6700</v>
      </c>
      <c r="H30" s="34"/>
    </row>
    <row r="31" spans="1:11">
      <c r="A31" s="408"/>
      <c r="B31" s="409"/>
      <c r="C31" s="410"/>
      <c r="D31" s="35"/>
      <c r="E31" s="384"/>
      <c r="F31" s="412"/>
      <c r="G31" s="385"/>
      <c r="H31" s="34"/>
    </row>
    <row r="32" spans="1:11">
      <c r="A32" s="408"/>
      <c r="B32" s="409"/>
      <c r="C32" s="410"/>
      <c r="D32" s="35"/>
      <c r="E32" s="411"/>
      <c r="F32" s="412"/>
      <c r="G32" s="413"/>
      <c r="H32" s="34"/>
    </row>
    <row r="33" spans="1:15" ht="15" thickBot="1">
      <c r="A33" s="62"/>
      <c r="B33" s="63"/>
      <c r="C33" s="38"/>
      <c r="D33" s="39"/>
      <c r="E33" s="40"/>
      <c r="F33" s="41"/>
      <c r="G33" s="38"/>
      <c r="H33" s="34"/>
    </row>
    <row r="34" spans="1:15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13400</v>
      </c>
      <c r="M34" s="813"/>
      <c r="N34" s="807"/>
      <c r="O34" s="807"/>
    </row>
    <row r="35" spans="1:15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5">
      <c r="A36" s="1185" t="s">
        <v>301</v>
      </c>
      <c r="B36" s="1187"/>
      <c r="C36" s="490" t="s">
        <v>302</v>
      </c>
      <c r="D36" s="490" t="s">
        <v>303</v>
      </c>
      <c r="E36" s="85" t="s">
        <v>304</v>
      </c>
      <c r="F36" s="64" t="s">
        <v>286</v>
      </c>
      <c r="G36" s="489" t="s">
        <v>287</v>
      </c>
      <c r="H36" s="29"/>
    </row>
    <row r="37" spans="1:15">
      <c r="A37" s="45" t="s">
        <v>403</v>
      </c>
      <c r="B37" s="46"/>
      <c r="C37" s="65">
        <f>+SALARIOS!C49</f>
        <v>53170.636666666665</v>
      </c>
      <c r="D37" s="66">
        <f>+SALARIOS!D49</f>
        <v>1.724216206485921</v>
      </c>
      <c r="E37" s="31">
        <f>+C37*D37</f>
        <v>91677.673449841212</v>
      </c>
      <c r="F37" s="31">
        <v>0.4</v>
      </c>
      <c r="G37" s="67">
        <f>+E37*F37</f>
        <v>36671.069379936489</v>
      </c>
      <c r="H37" s="34"/>
    </row>
    <row r="38" spans="1:15">
      <c r="A38" s="45" t="s">
        <v>408</v>
      </c>
      <c r="B38" s="46"/>
      <c r="C38" s="65">
        <f>+SALARIOS!C48*4</f>
        <v>130754.26666666666</v>
      </c>
      <c r="D38" s="66">
        <f>+SALARIOS!D48</f>
        <v>1.8056142176927319</v>
      </c>
      <c r="E38" s="31">
        <f>+C38*D38</f>
        <v>236091.76291732019</v>
      </c>
      <c r="F38" s="32">
        <v>0.56396686176083211</v>
      </c>
      <c r="G38" s="67">
        <f>+E38*F38</f>
        <v>133147.93062006347</v>
      </c>
      <c r="H38" s="34"/>
    </row>
    <row r="39" spans="1:15">
      <c r="A39" s="45"/>
      <c r="B39" s="46"/>
      <c r="C39" s="65"/>
      <c r="D39" s="66"/>
      <c r="E39" s="31"/>
      <c r="F39" s="31"/>
      <c r="G39" s="67"/>
      <c r="H39" s="34"/>
    </row>
    <row r="40" spans="1:15" ht="15" thickBot="1">
      <c r="A40" s="62"/>
      <c r="B40" s="68"/>
      <c r="C40" s="39"/>
      <c r="D40" s="53"/>
      <c r="E40" s="102"/>
      <c r="F40" s="53"/>
      <c r="G40" s="52"/>
      <c r="H40" s="42"/>
    </row>
    <row r="41" spans="1:15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169818.99999999997</v>
      </c>
    </row>
    <row r="42" spans="1:15" ht="15" thickBot="1">
      <c r="A42" s="23"/>
      <c r="B42" s="23"/>
      <c r="C42" s="23"/>
      <c r="D42" s="23"/>
      <c r="E42" s="23"/>
      <c r="F42" s="23"/>
      <c r="G42" s="69"/>
      <c r="H42" s="20"/>
    </row>
    <row r="43" spans="1:15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H18+H26+H34+H41</f>
        <v>582890.62422132492</v>
      </c>
    </row>
    <row r="44" spans="1:15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5">
      <c r="A45" s="72" t="s">
        <v>283</v>
      </c>
      <c r="B45" s="73"/>
      <c r="C45" s="73"/>
      <c r="D45" s="73"/>
      <c r="E45" s="74"/>
      <c r="F45" s="492" t="s">
        <v>308</v>
      </c>
      <c r="G45" s="491" t="s">
        <v>309</v>
      </c>
      <c r="H45" s="29"/>
    </row>
    <row r="46" spans="1:15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87433.593633198732</v>
      </c>
      <c r="H46" s="79"/>
    </row>
    <row r="47" spans="1:15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29144.531211066249</v>
      </c>
      <c r="H47" s="79"/>
    </row>
    <row r="48" spans="1:15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29144.531211066249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145722.65605533123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728613</v>
      </c>
    </row>
  </sheetData>
  <mergeCells count="18">
    <mergeCell ref="A13:C13"/>
    <mergeCell ref="A3:C4"/>
    <mergeCell ref="A5:C5"/>
    <mergeCell ref="D5:H5"/>
    <mergeCell ref="A11:C11"/>
    <mergeCell ref="A12:C12"/>
    <mergeCell ref="A36:B36"/>
    <mergeCell ref="A14:C14"/>
    <mergeCell ref="A15:C15"/>
    <mergeCell ref="A16:C16"/>
    <mergeCell ref="A17:C17"/>
    <mergeCell ref="A20:C20"/>
    <mergeCell ref="A21:C21"/>
    <mergeCell ref="A22:C22"/>
    <mergeCell ref="A23:C23"/>
    <mergeCell ref="A24:C24"/>
    <mergeCell ref="A25:C25"/>
    <mergeCell ref="A28:B28"/>
  </mergeCells>
  <pageMargins left="0.7" right="0.7" top="0.75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49"/>
  <sheetViews>
    <sheetView topLeftCell="A13" zoomScale="80" zoomScaleNormal="80" workbookViewId="0">
      <selection activeCell="G28" sqref="G28"/>
    </sheetView>
  </sheetViews>
  <sheetFormatPr baseColWidth="10" defaultRowHeight="14.4"/>
  <cols>
    <col min="1" max="1" width="11.5546875" customWidth="1"/>
    <col min="2" max="2" width="10.44140625" customWidth="1"/>
    <col min="3" max="3" width="15.88671875" bestFit="1" customWidth="1"/>
  </cols>
  <sheetData>
    <row r="1" spans="1:8">
      <c r="A1" s="2"/>
      <c r="B1" s="2"/>
      <c r="C1" s="2"/>
      <c r="D1" s="2"/>
      <c r="E1" s="2"/>
      <c r="F1" s="2"/>
      <c r="G1" s="2"/>
      <c r="H1" s="2"/>
    </row>
    <row r="2" spans="1:8" ht="15" thickBot="1">
      <c r="A2" s="2"/>
      <c r="B2" s="2"/>
      <c r="C2" s="2"/>
      <c r="D2" s="2"/>
      <c r="E2" s="2"/>
      <c r="F2" s="2"/>
      <c r="G2" s="2"/>
      <c r="H2" s="2"/>
    </row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316</v>
      </c>
      <c r="H7" s="23"/>
    </row>
    <row r="8" spans="1:8">
      <c r="A8" s="22" t="s">
        <v>314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26" t="s">
        <v>284</v>
      </c>
      <c r="E11" s="27" t="s">
        <v>285</v>
      </c>
      <c r="F11" s="26" t="s">
        <v>286</v>
      </c>
      <c r="G11" s="28" t="s">
        <v>287</v>
      </c>
      <c r="H11" s="29"/>
    </row>
    <row r="12" spans="1:8">
      <c r="A12" s="1188" t="s">
        <v>288</v>
      </c>
      <c r="B12" s="1189"/>
      <c r="C12" s="1190"/>
      <c r="D12" s="30"/>
      <c r="E12" s="31">
        <f>'EQUIPOS '!D9</f>
        <v>7500</v>
      </c>
      <c r="F12" s="120">
        <v>0.23327659574468085</v>
      </c>
      <c r="G12" s="562">
        <f>+E12*F12</f>
        <v>1749.5744680851064</v>
      </c>
      <c r="H12" s="34"/>
    </row>
    <row r="13" spans="1:8">
      <c r="A13" s="1191"/>
      <c r="B13" s="1192"/>
      <c r="C13" s="1193"/>
      <c r="D13" s="35"/>
      <c r="E13" s="36"/>
      <c r="F13" s="37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1749.5744680851064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85" t="s">
        <v>283</v>
      </c>
      <c r="B20" s="1186"/>
      <c r="C20" s="1187"/>
      <c r="D20" s="26" t="s">
        <v>291</v>
      </c>
      <c r="E20" s="26" t="s">
        <v>292</v>
      </c>
      <c r="F20" s="26" t="s">
        <v>293</v>
      </c>
      <c r="G20" s="28" t="s">
        <v>287</v>
      </c>
      <c r="H20" s="29"/>
    </row>
    <row r="21" spans="1:8">
      <c r="A21" s="45" t="s">
        <v>341</v>
      </c>
      <c r="B21" s="46"/>
      <c r="C21" s="47"/>
      <c r="D21" s="30" t="s">
        <v>1</v>
      </c>
      <c r="E21" s="48">
        <f>MATERIALES!E31</f>
        <v>1500</v>
      </c>
      <c r="F21" s="31">
        <v>0.1</v>
      </c>
      <c r="G21" s="33">
        <f>E21*F21</f>
        <v>150</v>
      </c>
      <c r="H21" s="34"/>
    </row>
    <row r="22" spans="1:8">
      <c r="A22" s="45" t="s">
        <v>1290</v>
      </c>
      <c r="B22" s="46"/>
      <c r="C22" s="47"/>
      <c r="D22" s="30" t="s">
        <v>139</v>
      </c>
      <c r="E22" s="48">
        <f>MATERIALES!E42</f>
        <v>2588.3333333333335</v>
      </c>
      <c r="F22" s="31">
        <v>0.22</v>
      </c>
      <c r="G22" s="33">
        <f>E22*F22</f>
        <v>569.43333333333339</v>
      </c>
      <c r="H22" s="34"/>
    </row>
    <row r="23" spans="1:8">
      <c r="A23" s="45" t="s">
        <v>1291</v>
      </c>
      <c r="B23" s="46"/>
      <c r="C23" s="47"/>
      <c r="D23" s="35" t="s">
        <v>56</v>
      </c>
      <c r="E23" s="36">
        <f>MATERIALES!E39</f>
        <v>59434.533333333326</v>
      </c>
      <c r="F23" s="49">
        <v>8.3000000000000001E-4</v>
      </c>
      <c r="G23" s="33">
        <f>E23*F23</f>
        <v>49.330662666666662</v>
      </c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768.76399600000002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26" t="s">
        <v>293</v>
      </c>
      <c r="E27" s="26" t="s">
        <v>298</v>
      </c>
      <c r="F27" s="26" t="s">
        <v>299</v>
      </c>
      <c r="G27" s="56" t="s">
        <v>287</v>
      </c>
      <c r="H27" s="29"/>
    </row>
    <row r="28" spans="1:8">
      <c r="A28" s="45"/>
      <c r="B28" s="46"/>
      <c r="C28" s="386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1">
      <c r="A33" s="1185" t="s">
        <v>301</v>
      </c>
      <c r="B33" s="1187"/>
      <c r="C33" s="26" t="s">
        <v>302</v>
      </c>
      <c r="D33" s="26" t="s">
        <v>303</v>
      </c>
      <c r="E33" s="85" t="s">
        <v>304</v>
      </c>
      <c r="F33" s="64" t="s">
        <v>286</v>
      </c>
      <c r="G33" s="28" t="s">
        <v>287</v>
      </c>
      <c r="H33" s="29"/>
    </row>
    <row r="34" spans="1:11">
      <c r="A34" s="45" t="s">
        <v>305</v>
      </c>
      <c r="B34" s="46"/>
      <c r="C34" s="65">
        <f>+SALARIOS!C53</f>
        <v>81928.28</v>
      </c>
      <c r="D34" s="358">
        <f>+SALARIOS!D53</f>
        <v>1.6292934790607914</v>
      </c>
      <c r="E34" s="31">
        <f>+C34*D34</f>
        <v>133485.21235466664</v>
      </c>
      <c r="F34" s="32">
        <v>8.3000000000000001E-3</v>
      </c>
      <c r="G34" s="67">
        <f>+E34*F34</f>
        <v>1107.9272625437331</v>
      </c>
      <c r="H34" s="34"/>
      <c r="K34">
        <f>1/0.008</f>
        <v>125</v>
      </c>
    </row>
    <row r="35" spans="1:11">
      <c r="A35" s="45" t="s">
        <v>926</v>
      </c>
      <c r="B35" s="46"/>
      <c r="C35" s="65">
        <f>SALARIOS!C51</f>
        <v>53170.636666666665</v>
      </c>
      <c r="D35" s="358">
        <f>+SALARIOS!D51</f>
        <v>1.724216206485921</v>
      </c>
      <c r="E35" s="31">
        <f>+C35*D35</f>
        <v>91677.673449841212</v>
      </c>
      <c r="F35" s="32">
        <v>5.0000000000000001E-3</v>
      </c>
      <c r="G35" s="67">
        <f>+E35*F35</f>
        <v>458.38836724920606</v>
      </c>
      <c r="H35" s="34"/>
    </row>
    <row r="36" spans="1:11" ht="15" thickBot="1">
      <c r="A36" s="62"/>
      <c r="B36" s="68"/>
      <c r="C36" s="39"/>
      <c r="D36" s="53"/>
      <c r="E36" s="53"/>
      <c r="F36" s="53"/>
      <c r="G36" s="52"/>
      <c r="H36" s="42"/>
    </row>
    <row r="37" spans="1:11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SUM(G34:G36)</f>
        <v>1566.3156297929393</v>
      </c>
    </row>
    <row r="38" spans="1:11" ht="15" thickBot="1">
      <c r="A38" s="23"/>
      <c r="B38" s="23"/>
      <c r="C38" s="23"/>
      <c r="D38" s="23"/>
      <c r="E38" s="23"/>
      <c r="F38" s="23"/>
      <c r="G38" s="69"/>
      <c r="H38" s="20"/>
    </row>
    <row r="39" spans="1:11" ht="15" thickBot="1">
      <c r="A39" s="23"/>
      <c r="B39" s="23"/>
      <c r="C39" s="23"/>
      <c r="D39" s="23"/>
      <c r="E39" s="70" t="s">
        <v>306</v>
      </c>
      <c r="F39" s="71"/>
      <c r="G39" s="71"/>
      <c r="H39" s="44">
        <f>H18+H25+H31+H37</f>
        <v>4084.6540938780454</v>
      </c>
    </row>
    <row r="40" spans="1:11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11">
      <c r="A41" s="72" t="s">
        <v>283</v>
      </c>
      <c r="B41" s="73"/>
      <c r="C41" s="73"/>
      <c r="D41" s="73"/>
      <c r="E41" s="74"/>
      <c r="F41" s="75" t="s">
        <v>308</v>
      </c>
      <c r="G41" s="76" t="s">
        <v>309</v>
      </c>
      <c r="H41" s="29"/>
    </row>
    <row r="42" spans="1:11">
      <c r="A42" s="45" t="s">
        <v>310</v>
      </c>
      <c r="B42" s="46"/>
      <c r="C42" s="46"/>
      <c r="D42" s="46"/>
      <c r="E42" s="47"/>
      <c r="F42" s="77">
        <f>SALARIOS!C43</f>
        <v>0.15</v>
      </c>
      <c r="G42" s="78">
        <f>++F42*H39</f>
        <v>612.69811408170676</v>
      </c>
      <c r="H42" s="79"/>
    </row>
    <row r="43" spans="1:11">
      <c r="A43" s="45" t="s">
        <v>311</v>
      </c>
      <c r="B43" s="46"/>
      <c r="C43" s="46"/>
      <c r="D43" s="46"/>
      <c r="E43" s="47"/>
      <c r="F43" s="77">
        <f>SALARIOS!C44</f>
        <v>0.05</v>
      </c>
      <c r="G43" s="78">
        <f>+F43*H39</f>
        <v>204.23270469390229</v>
      </c>
      <c r="H43" s="79"/>
    </row>
    <row r="44" spans="1:11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204.23270469390229</v>
      </c>
      <c r="H44" s="42"/>
    </row>
    <row r="45" spans="1:11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1021.1635234695113</v>
      </c>
    </row>
    <row r="46" spans="1:11" ht="15" thickBot="1">
      <c r="A46" s="23"/>
      <c r="B46" s="23"/>
      <c r="C46" s="23"/>
      <c r="D46" s="23"/>
      <c r="E46" s="23"/>
      <c r="F46" s="23"/>
      <c r="G46" s="23"/>
      <c r="H46" s="23"/>
    </row>
    <row r="47" spans="1:11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5106</v>
      </c>
    </row>
    <row r="48" spans="1:11">
      <c r="A48" s="2"/>
      <c r="B48" s="2"/>
      <c r="C48" s="2"/>
      <c r="D48" s="2"/>
      <c r="E48" s="2"/>
      <c r="F48" s="2"/>
      <c r="G48" s="2"/>
      <c r="H48" s="2"/>
    </row>
    <row r="49" spans="1:8">
      <c r="A49" s="2"/>
      <c r="B49" s="2"/>
      <c r="C49" s="2"/>
      <c r="D49" s="2"/>
      <c r="E49" s="2"/>
      <c r="F49" s="2"/>
      <c r="G49" s="2"/>
      <c r="H49" s="2"/>
    </row>
  </sheetData>
  <mergeCells count="13">
    <mergeCell ref="A3:C4"/>
    <mergeCell ref="A5:C5"/>
    <mergeCell ref="A20:C20"/>
    <mergeCell ref="A27:B27"/>
    <mergeCell ref="A33:B33"/>
    <mergeCell ref="D5:H5"/>
    <mergeCell ref="A11:C11"/>
    <mergeCell ref="A12:C12"/>
    <mergeCell ref="A16:C16"/>
    <mergeCell ref="A17:C17"/>
    <mergeCell ref="A13:C13"/>
    <mergeCell ref="A14:C14"/>
    <mergeCell ref="A15:C15"/>
  </mergeCells>
  <pageMargins left="0.7" right="0.7" top="0.75" bottom="0.75" header="0.3" footer="0.3"/>
  <pageSetup paperSize="9" scale="9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topLeftCell="A34" workbookViewId="0">
      <selection activeCell="F16" sqref="F16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414</v>
      </c>
      <c r="H7" s="23"/>
    </row>
    <row r="8" spans="1:8">
      <c r="A8" s="22" t="s">
        <v>1045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H39*10%</f>
        <v>18307.703264886139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31">
        <f>'EQUIPOS '!D10</f>
        <v>40267</v>
      </c>
      <c r="F13" s="59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59">
        <v>0.1</v>
      </c>
      <c r="G14" s="370">
        <f>E14*F14</f>
        <v>4145.7</v>
      </c>
      <c r="H14" s="34"/>
    </row>
    <row r="15" spans="1:8">
      <c r="A15" s="134" t="s">
        <v>405</v>
      </c>
      <c r="B15" s="135"/>
      <c r="C15" s="133"/>
      <c r="D15" s="133" t="s">
        <v>1054</v>
      </c>
      <c r="E15" s="132">
        <f>MATERIALES!E21</f>
        <v>1392</v>
      </c>
      <c r="F15" s="59">
        <v>2</v>
      </c>
      <c r="G15" s="132">
        <f>E15*F15</f>
        <v>2784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65504.403264886132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499" t="s">
        <v>291</v>
      </c>
      <c r="E20" s="499" t="s">
        <v>292</v>
      </c>
      <c r="F20" s="499" t="s">
        <v>293</v>
      </c>
      <c r="G20" s="388" t="s">
        <v>287</v>
      </c>
      <c r="H20" s="484"/>
    </row>
    <row r="21" spans="1:8">
      <c r="A21" s="45" t="s">
        <v>116</v>
      </c>
      <c r="B21" s="46"/>
      <c r="C21" s="47"/>
      <c r="D21" s="30" t="s">
        <v>28</v>
      </c>
      <c r="E21" s="483">
        <f>MATERIALES!E14</f>
        <v>514</v>
      </c>
      <c r="F21" s="30">
        <v>420</v>
      </c>
      <c r="G21" s="485">
        <f>+E21*F21</f>
        <v>215880</v>
      </c>
      <c r="H21" s="21"/>
    </row>
    <row r="22" spans="1:8">
      <c r="A22" s="45" t="s">
        <v>49</v>
      </c>
      <c r="B22" s="46"/>
      <c r="C22" s="47"/>
      <c r="D22" s="100" t="s">
        <v>9</v>
      </c>
      <c r="E22" s="482">
        <f>MATERIALES!E10</f>
        <v>51566.666666666664</v>
      </c>
      <c r="F22" s="434">
        <v>0.67</v>
      </c>
      <c r="G22" s="485">
        <f>+E22*F22</f>
        <v>34549.666666666664</v>
      </c>
      <c r="H22" s="21"/>
    </row>
    <row r="23" spans="1:8">
      <c r="A23" s="45" t="s">
        <v>8</v>
      </c>
      <c r="B23" s="46"/>
      <c r="C23" s="47"/>
      <c r="D23" s="100" t="s">
        <v>9</v>
      </c>
      <c r="E23" s="483">
        <f>MATERIALES!E54</f>
        <v>81699.892283333334</v>
      </c>
      <c r="F23" s="59">
        <v>0.67</v>
      </c>
      <c r="G23" s="485">
        <f>+E23*F23</f>
        <v>54738.927829833337</v>
      </c>
      <c r="H23" s="21"/>
    </row>
    <row r="24" spans="1:8">
      <c r="A24" s="87" t="s">
        <v>830</v>
      </c>
      <c r="B24" s="88"/>
      <c r="C24" s="89"/>
      <c r="D24" s="30" t="s">
        <v>836</v>
      </c>
      <c r="E24" s="483">
        <f>MATERIALES!E5</f>
        <v>68</v>
      </c>
      <c r="F24" s="30">
        <v>250</v>
      </c>
      <c r="G24" s="67">
        <f>+E24*F24</f>
        <v>17000</v>
      </c>
      <c r="H24" s="21"/>
    </row>
    <row r="25" spans="1:8" ht="15" thickBot="1">
      <c r="A25" s="51" t="s">
        <v>832</v>
      </c>
      <c r="B25" s="52"/>
      <c r="C25" s="53"/>
      <c r="D25" s="38"/>
      <c r="E25" s="38"/>
      <c r="F25" s="811"/>
      <c r="G25" s="487">
        <f>SUM(G21:G24)*5%</f>
        <v>16108.429724825</v>
      </c>
      <c r="H25" s="21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338277.024221325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1185" t="s">
        <v>295</v>
      </c>
      <c r="B28" s="1187"/>
      <c r="C28" s="55" t="s">
        <v>296</v>
      </c>
      <c r="D28" s="141" t="s">
        <v>297</v>
      </c>
      <c r="E28" s="141" t="s">
        <v>298</v>
      </c>
      <c r="F28" s="141" t="s">
        <v>299</v>
      </c>
      <c r="G28" s="56" t="s">
        <v>287</v>
      </c>
      <c r="H28" s="29"/>
    </row>
    <row r="29" spans="1:8">
      <c r="A29" s="45" t="s">
        <v>49</v>
      </c>
      <c r="B29" s="46"/>
      <c r="C29" s="386">
        <f>F22</f>
        <v>0.67</v>
      </c>
      <c r="D29" s="58">
        <v>8</v>
      </c>
      <c r="E29" s="58">
        <f>D29*C29</f>
        <v>5.36</v>
      </c>
      <c r="F29" s="59">
        <f>'EQUIPOS '!D18</f>
        <v>1250</v>
      </c>
      <c r="G29" s="31">
        <f>F29*E29</f>
        <v>6700</v>
      </c>
      <c r="H29" s="34"/>
    </row>
    <row r="30" spans="1:8">
      <c r="A30" s="45" t="s">
        <v>8</v>
      </c>
      <c r="B30" s="46"/>
      <c r="C30" s="59">
        <f>F23</f>
        <v>0.67</v>
      </c>
      <c r="D30" s="30">
        <v>8</v>
      </c>
      <c r="E30" s="58">
        <f>D30*C30</f>
        <v>5.36</v>
      </c>
      <c r="F30" s="59">
        <f>'EQUIPOS '!D18</f>
        <v>1250</v>
      </c>
      <c r="G30" s="31">
        <f>F30*E30</f>
        <v>6700</v>
      </c>
      <c r="H30" s="34"/>
    </row>
    <row r="31" spans="1:8" ht="15" thickBot="1">
      <c r="A31" s="62"/>
      <c r="B31" s="63"/>
      <c r="C31" s="38"/>
      <c r="D31" s="39"/>
      <c r="E31" s="40"/>
      <c r="F31" s="4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13400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1185" t="s">
        <v>301</v>
      </c>
      <c r="B34" s="1187"/>
      <c r="C34" s="141" t="s">
        <v>302</v>
      </c>
      <c r="D34" s="141" t="s">
        <v>303</v>
      </c>
      <c r="E34" s="85" t="s">
        <v>304</v>
      </c>
      <c r="F34" s="64" t="s">
        <v>286</v>
      </c>
      <c r="G34" s="140" t="s">
        <v>287</v>
      </c>
      <c r="H34" s="29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0.42</v>
      </c>
      <c r="G35" s="67">
        <f>+E35*F35</f>
        <v>38504.622848933308</v>
      </c>
      <c r="H35" s="34"/>
    </row>
    <row r="36" spans="1:8">
      <c r="A36" s="45" t="s">
        <v>408</v>
      </c>
      <c r="B36" s="46"/>
      <c r="C36" s="65">
        <f>+SALARIOS!C48*4</f>
        <v>130754.26666666666</v>
      </c>
      <c r="D36" s="66">
        <f>+SALARIOS!D48</f>
        <v>1.8056142176927319</v>
      </c>
      <c r="E36" s="31">
        <f>+C36*D36</f>
        <v>236091.76291732019</v>
      </c>
      <c r="F36" s="31">
        <v>0.4</v>
      </c>
      <c r="G36" s="67">
        <f>+E36*F36</f>
        <v>94436.705166928077</v>
      </c>
      <c r="H36" s="34"/>
    </row>
    <row r="37" spans="1:8">
      <c r="A37" s="45" t="s">
        <v>412</v>
      </c>
      <c r="B37" s="46"/>
      <c r="C37" s="65">
        <f>+SALARIOS!C50</f>
        <v>73150.25</v>
      </c>
      <c r="D37" s="66">
        <f>+SALARIOS!D50</f>
        <v>1.6318566965480863</v>
      </c>
      <c r="E37" s="31">
        <f>+C37*D37</f>
        <v>119370.72531666665</v>
      </c>
      <c r="F37" s="31">
        <v>0.42</v>
      </c>
      <c r="G37" s="67">
        <f>+E37*F37</f>
        <v>50135.704632999994</v>
      </c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183077.03264886138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70" t="s">
        <v>306</v>
      </c>
      <c r="F41" s="71"/>
      <c r="G41" s="71"/>
      <c r="H41" s="44">
        <f>H18+H26+H32+H39</f>
        <v>600258.46013507247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72" t="s">
        <v>283</v>
      </c>
      <c r="B43" s="73"/>
      <c r="C43" s="73"/>
      <c r="D43" s="73"/>
      <c r="E43" s="74"/>
      <c r="F43" s="143" t="s">
        <v>308</v>
      </c>
      <c r="G43" s="142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(SALARIOS!C43)</f>
        <v>0.15</v>
      </c>
      <c r="G44" s="78">
        <f>++F44*H41</f>
        <v>90038.769020260865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(SALARIOS!C44)</f>
        <v>0.05</v>
      </c>
      <c r="G45" s="78">
        <f>+F45*H41</f>
        <v>30012.923006753626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SALARIOS!C45</f>
        <v>0.05</v>
      </c>
      <c r="G46" s="81">
        <f>+F46*H41</f>
        <v>30012.923006753626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150064.61503376812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70" t="s">
        <v>313</v>
      </c>
      <c r="E49" s="71"/>
      <c r="F49" s="71"/>
      <c r="G49" s="71"/>
      <c r="H49" s="44">
        <f>ROUND((H41+H47),0)</f>
        <v>750323</v>
      </c>
    </row>
  </sheetData>
  <mergeCells count="12">
    <mergeCell ref="A34:B34"/>
    <mergeCell ref="A3:C4"/>
    <mergeCell ref="A5:C5"/>
    <mergeCell ref="D5:H5"/>
    <mergeCell ref="A11:C11"/>
    <mergeCell ref="A12:C12"/>
    <mergeCell ref="A16:C16"/>
    <mergeCell ref="A17:C17"/>
    <mergeCell ref="A20:C20"/>
    <mergeCell ref="A28:B28"/>
    <mergeCell ref="A13:C13"/>
    <mergeCell ref="A14:C1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1"/>
  <sheetViews>
    <sheetView topLeftCell="A40" zoomScaleNormal="100" workbookViewId="0">
      <selection activeCell="F15" sqref="F15"/>
    </sheetView>
  </sheetViews>
  <sheetFormatPr baseColWidth="10" defaultRowHeight="14.4"/>
  <cols>
    <col min="5" max="5" width="12" bestFit="1" customWidth="1"/>
    <col min="10" max="10" width="13" bestFit="1" customWidth="1"/>
    <col min="11" max="11" width="12" bestFit="1" customWidth="1"/>
    <col min="13" max="13" width="13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415</v>
      </c>
      <c r="H7" s="23"/>
    </row>
    <row r="8" spans="1:8">
      <c r="A8" s="22" t="s">
        <v>1047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94" t="s">
        <v>284</v>
      </c>
      <c r="E11" s="27" t="s">
        <v>285</v>
      </c>
      <c r="F11" s="494" t="s">
        <v>286</v>
      </c>
      <c r="G11" s="493" t="s">
        <v>287</v>
      </c>
      <c r="H11" s="29"/>
    </row>
    <row r="12" spans="1:8">
      <c r="A12" s="1226" t="s">
        <v>834</v>
      </c>
      <c r="B12" s="1227"/>
      <c r="C12" s="1228"/>
      <c r="D12" s="374"/>
      <c r="E12" s="375"/>
      <c r="F12" s="382"/>
      <c r="G12" s="383">
        <f>+H41*10%</f>
        <v>18005.458999999999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414">
        <f>+'EQUIPOS '!D10</f>
        <v>40267</v>
      </c>
      <c r="F13" s="414">
        <v>1</v>
      </c>
      <c r="G13" s="370">
        <f>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35">
        <f>'EQUIPOS '!D16</f>
        <v>41457</v>
      </c>
      <c r="F14" s="59">
        <v>0.1</v>
      </c>
      <c r="G14" s="370">
        <f>E14*F14</f>
        <v>4145.7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1" ht="15" thickBot="1">
      <c r="A17" s="1194"/>
      <c r="B17" s="1195"/>
      <c r="C17" s="1196"/>
      <c r="D17" s="38"/>
      <c r="E17" s="39"/>
      <c r="F17" s="40"/>
      <c r="G17" s="41"/>
      <c r="H17" s="42"/>
    </row>
    <row r="18" spans="1:11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62418.159</v>
      </c>
    </row>
    <row r="19" spans="1:11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1">
      <c r="A20" s="1209" t="s">
        <v>283</v>
      </c>
      <c r="B20" s="1210"/>
      <c r="C20" s="1211"/>
      <c r="D20" s="497" t="s">
        <v>291</v>
      </c>
      <c r="E20" s="497" t="s">
        <v>292</v>
      </c>
      <c r="F20" s="497" t="s">
        <v>293</v>
      </c>
      <c r="G20" s="496" t="s">
        <v>287</v>
      </c>
      <c r="H20" s="29"/>
    </row>
    <row r="21" spans="1:11">
      <c r="A21" s="514" t="s">
        <v>116</v>
      </c>
      <c r="B21" s="515"/>
      <c r="C21" s="516"/>
      <c r="D21" s="406" t="s">
        <v>28</v>
      </c>
      <c r="E21" s="406">
        <f>MATERIALES!E14</f>
        <v>514</v>
      </c>
      <c r="F21" s="406">
        <v>450</v>
      </c>
      <c r="G21" s="390">
        <f>+E21*F21</f>
        <v>231300</v>
      </c>
      <c r="H21" s="34"/>
    </row>
    <row r="22" spans="1:11">
      <c r="A22" s="514" t="s">
        <v>49</v>
      </c>
      <c r="B22" s="515"/>
      <c r="C22" s="516"/>
      <c r="D22" s="406" t="s">
        <v>835</v>
      </c>
      <c r="E22" s="406">
        <f>MATERIALES!E10</f>
        <v>51566.666666666664</v>
      </c>
      <c r="F22" s="407">
        <v>0.67</v>
      </c>
      <c r="G22" s="390">
        <f>+E22*F22</f>
        <v>34549.666666666664</v>
      </c>
      <c r="H22" s="376"/>
      <c r="J22" s="10"/>
    </row>
    <row r="23" spans="1:11">
      <c r="A23" s="514" t="s">
        <v>8</v>
      </c>
      <c r="B23" s="515"/>
      <c r="C23" s="516"/>
      <c r="D23" s="406" t="s">
        <v>835</v>
      </c>
      <c r="E23" s="406">
        <f>MATERIALES!E54</f>
        <v>81699.892283333334</v>
      </c>
      <c r="F23" s="407">
        <v>0.67</v>
      </c>
      <c r="G23" s="390">
        <f>+E23*F23</f>
        <v>54738.927829833337</v>
      </c>
      <c r="H23" s="376"/>
    </row>
    <row r="24" spans="1:11">
      <c r="A24" s="514" t="s">
        <v>830</v>
      </c>
      <c r="B24" s="515"/>
      <c r="C24" s="516"/>
      <c r="D24" s="406" t="s">
        <v>986</v>
      </c>
      <c r="E24" s="406">
        <f>MATERIALES!E5</f>
        <v>68</v>
      </c>
      <c r="F24" s="406">
        <v>250</v>
      </c>
      <c r="G24" s="390">
        <f>+E24*F24</f>
        <v>17000</v>
      </c>
      <c r="H24" s="376"/>
    </row>
    <row r="25" spans="1:11" ht="15" thickBot="1">
      <c r="A25" s="517" t="s">
        <v>832</v>
      </c>
      <c r="B25" s="518"/>
      <c r="C25" s="519"/>
      <c r="D25" s="371"/>
      <c r="E25" s="372"/>
      <c r="F25" s="373"/>
      <c r="G25" s="370">
        <f>SUM(G21:G24)*5%</f>
        <v>16879.429724825004</v>
      </c>
      <c r="H25" s="377"/>
      <c r="J25" s="10"/>
      <c r="K25" s="10"/>
    </row>
    <row r="26" spans="1:11" ht="15" thickBot="1">
      <c r="A26" s="378"/>
      <c r="B26" s="378"/>
      <c r="C26" s="378"/>
      <c r="D26" s="378"/>
      <c r="E26" s="378"/>
      <c r="F26" s="378"/>
      <c r="G26" s="379" t="s">
        <v>289</v>
      </c>
      <c r="H26" s="380">
        <f>SUM(G21:G25)</f>
        <v>354468.02422132506</v>
      </c>
    </row>
    <row r="27" spans="1:11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11">
      <c r="A28" s="1185" t="s">
        <v>295</v>
      </c>
      <c r="B28" s="1187"/>
      <c r="C28" s="55" t="s">
        <v>296</v>
      </c>
      <c r="D28" s="494" t="s">
        <v>297</v>
      </c>
      <c r="E28" s="494" t="s">
        <v>298</v>
      </c>
      <c r="F28" s="494" t="s">
        <v>299</v>
      </c>
      <c r="G28" s="56" t="s">
        <v>287</v>
      </c>
      <c r="H28" s="29"/>
    </row>
    <row r="29" spans="1:11">
      <c r="A29" s="45" t="s">
        <v>49</v>
      </c>
      <c r="B29" s="46"/>
      <c r="C29" s="386">
        <f>F22</f>
        <v>0.67</v>
      </c>
      <c r="D29" s="58">
        <v>8</v>
      </c>
      <c r="E29" s="58">
        <f>D29*C29</f>
        <v>5.36</v>
      </c>
      <c r="F29" s="59">
        <f>'EQUIPOS '!D18</f>
        <v>1250</v>
      </c>
      <c r="G29" s="31">
        <f>F29*E29</f>
        <v>6700</v>
      </c>
      <c r="H29" s="34"/>
    </row>
    <row r="30" spans="1:11">
      <c r="A30" s="45" t="s">
        <v>8</v>
      </c>
      <c r="B30" s="46"/>
      <c r="C30" s="416">
        <f>F23</f>
        <v>0.67</v>
      </c>
      <c r="D30" s="30">
        <v>8</v>
      </c>
      <c r="E30" s="58">
        <f>D30*C30</f>
        <v>5.36</v>
      </c>
      <c r="F30" s="59">
        <f>'EQUIPOS '!D18</f>
        <v>1250</v>
      </c>
      <c r="G30" s="31">
        <f>F30*E30</f>
        <v>6700</v>
      </c>
      <c r="H30" s="34"/>
    </row>
    <row r="31" spans="1:11">
      <c r="A31" s="408"/>
      <c r="B31" s="409"/>
      <c r="C31" s="410"/>
      <c r="D31" s="35"/>
      <c r="E31" s="384"/>
      <c r="F31" s="412"/>
      <c r="G31" s="385"/>
      <c r="H31" s="34"/>
    </row>
    <row r="32" spans="1:11">
      <c r="A32" s="408"/>
      <c r="B32" s="409"/>
      <c r="C32" s="410"/>
      <c r="D32" s="35"/>
      <c r="E32" s="411"/>
      <c r="F32" s="412"/>
      <c r="G32" s="413"/>
      <c r="H32" s="34"/>
    </row>
    <row r="33" spans="1:13" ht="15" thickBot="1">
      <c r="A33" s="62"/>
      <c r="B33" s="63"/>
      <c r="C33" s="38"/>
      <c r="D33" s="39"/>
      <c r="E33" s="40"/>
      <c r="F33" s="41"/>
      <c r="G33" s="38"/>
      <c r="H33" s="34"/>
    </row>
    <row r="34" spans="1:13" ht="15" thickBot="1">
      <c r="A34" s="23"/>
      <c r="B34" s="23"/>
      <c r="C34" s="23"/>
      <c r="D34" s="23"/>
      <c r="E34" s="23"/>
      <c r="F34" s="23"/>
      <c r="G34" s="43" t="s">
        <v>289</v>
      </c>
      <c r="H34" s="44">
        <f>SUM(G29:G33)</f>
        <v>13400</v>
      </c>
    </row>
    <row r="35" spans="1:13" ht="15" thickBot="1">
      <c r="A35" s="54" t="s">
        <v>300</v>
      </c>
      <c r="B35" s="54"/>
      <c r="C35" s="23"/>
      <c r="D35" s="23"/>
      <c r="E35" s="23"/>
      <c r="F35" s="23"/>
      <c r="G35" s="23"/>
      <c r="H35" s="23"/>
    </row>
    <row r="36" spans="1:13">
      <c r="A36" s="1185" t="s">
        <v>301</v>
      </c>
      <c r="B36" s="1187"/>
      <c r="C36" s="494" t="s">
        <v>302</v>
      </c>
      <c r="D36" s="494" t="s">
        <v>303</v>
      </c>
      <c r="E36" s="85" t="s">
        <v>304</v>
      </c>
      <c r="F36" s="64" t="s">
        <v>286</v>
      </c>
      <c r="G36" s="493" t="s">
        <v>287</v>
      </c>
      <c r="H36" s="29"/>
    </row>
    <row r="37" spans="1:13">
      <c r="A37" s="45" t="s">
        <v>403</v>
      </c>
      <c r="B37" s="46"/>
      <c r="C37" s="65">
        <f>+SALARIOS!C49</f>
        <v>53170.636666666665</v>
      </c>
      <c r="D37" s="66">
        <f>+SALARIOS!D51</f>
        <v>1.724216206485921</v>
      </c>
      <c r="E37" s="31">
        <f>+C37*D37</f>
        <v>91677.673449841212</v>
      </c>
      <c r="F37" s="120">
        <v>0.42</v>
      </c>
      <c r="G37" s="67">
        <f>+E37*F37</f>
        <v>38504.622848933308</v>
      </c>
      <c r="H37" s="34"/>
    </row>
    <row r="38" spans="1:13">
      <c r="A38" s="45" t="s">
        <v>408</v>
      </c>
      <c r="B38" s="46"/>
      <c r="C38" s="65">
        <f>+SALARIOS!C48*4</f>
        <v>130754.26666666666</v>
      </c>
      <c r="D38" s="66">
        <f>+SALARIOS!D50</f>
        <v>1.6318566965480863</v>
      </c>
      <c r="E38" s="31">
        <f>+C38*D38</f>
        <v>213372.22566223421</v>
      </c>
      <c r="F38" s="31">
        <v>0.41512756086967917</v>
      </c>
      <c r="G38" s="67">
        <f>+E38*F38</f>
        <v>88576.691596498058</v>
      </c>
      <c r="H38" s="34"/>
    </row>
    <row r="39" spans="1:13">
      <c r="A39" s="45" t="s">
        <v>412</v>
      </c>
      <c r="B39" s="46"/>
      <c r="C39" s="65">
        <f>SALARIOS!C50</f>
        <v>73150.25</v>
      </c>
      <c r="D39" s="66">
        <f>+SALARIOS!D52</f>
        <v>1.724216206485921</v>
      </c>
      <c r="E39" s="31">
        <f>+C39*D39</f>
        <v>126126.84655849675</v>
      </c>
      <c r="F39" s="120">
        <v>0.42</v>
      </c>
      <c r="G39" s="67">
        <f>+E39*F39</f>
        <v>52973.27555456863</v>
      </c>
      <c r="H39" s="34"/>
    </row>
    <row r="40" spans="1:13" ht="15" thickBot="1">
      <c r="A40" s="62"/>
      <c r="B40" s="68"/>
      <c r="C40" s="39"/>
      <c r="D40" s="53"/>
      <c r="E40" s="102"/>
      <c r="F40" s="53"/>
      <c r="G40" s="52"/>
      <c r="H40" s="42"/>
    </row>
    <row r="41" spans="1:13" ht="15" thickBot="1">
      <c r="A41" s="23"/>
      <c r="B41" s="23"/>
      <c r="C41" s="23"/>
      <c r="D41" s="23"/>
      <c r="E41" s="23"/>
      <c r="F41" s="23"/>
      <c r="G41" s="43" t="s">
        <v>289</v>
      </c>
      <c r="H41" s="44">
        <f>SUM(G37:G40)</f>
        <v>180054.59</v>
      </c>
      <c r="K41" s="813"/>
      <c r="M41" s="1069"/>
    </row>
    <row r="42" spans="1:13" ht="15" thickBot="1">
      <c r="A42" s="23"/>
      <c r="B42" s="23"/>
      <c r="C42" s="23"/>
      <c r="D42" s="23"/>
      <c r="E42" s="23"/>
      <c r="F42" s="23"/>
      <c r="G42" s="69"/>
      <c r="H42" s="20"/>
    </row>
    <row r="43" spans="1:13" ht="15" thickBot="1">
      <c r="A43" s="23"/>
      <c r="B43" s="23"/>
      <c r="C43" s="23"/>
      <c r="D43" s="23"/>
      <c r="E43" s="70" t="s">
        <v>306</v>
      </c>
      <c r="F43" s="71"/>
      <c r="G43" s="71"/>
      <c r="H43" s="44">
        <f>H18+H26+H34+H41</f>
        <v>610340.77322132501</v>
      </c>
    </row>
    <row r="44" spans="1:13" ht="15" thickBot="1">
      <c r="A44" s="25" t="s">
        <v>307</v>
      </c>
      <c r="B44" s="25"/>
      <c r="C44" s="23"/>
      <c r="D44" s="23"/>
      <c r="E44" s="23"/>
      <c r="F44" s="23"/>
      <c r="G44" s="23"/>
      <c r="H44" s="23"/>
    </row>
    <row r="45" spans="1:13">
      <c r="A45" s="72" t="s">
        <v>283</v>
      </c>
      <c r="B45" s="73"/>
      <c r="C45" s="73"/>
      <c r="D45" s="73"/>
      <c r="E45" s="74"/>
      <c r="F45" s="497" t="s">
        <v>308</v>
      </c>
      <c r="G45" s="496" t="s">
        <v>309</v>
      </c>
      <c r="H45" s="29"/>
    </row>
    <row r="46" spans="1:13">
      <c r="A46" s="45" t="s">
        <v>310</v>
      </c>
      <c r="B46" s="46"/>
      <c r="C46" s="46"/>
      <c r="D46" s="46"/>
      <c r="E46" s="47"/>
      <c r="F46" s="77">
        <f>(SALARIOS!C43)</f>
        <v>0.15</v>
      </c>
      <c r="G46" s="78">
        <f>++F46*H43</f>
        <v>91551.115983198746</v>
      </c>
      <c r="H46" s="79"/>
    </row>
    <row r="47" spans="1:13">
      <c r="A47" s="45" t="s">
        <v>311</v>
      </c>
      <c r="B47" s="46"/>
      <c r="C47" s="46"/>
      <c r="D47" s="46"/>
      <c r="E47" s="47"/>
      <c r="F47" s="77">
        <f>(SALARIOS!C44)</f>
        <v>0.05</v>
      </c>
      <c r="G47" s="78">
        <f>+F47*H43</f>
        <v>30517.038661066254</v>
      </c>
      <c r="H47" s="79"/>
    </row>
    <row r="48" spans="1:13" ht="15" thickBot="1">
      <c r="A48" s="51" t="s">
        <v>312</v>
      </c>
      <c r="B48" s="52"/>
      <c r="C48" s="52"/>
      <c r="D48" s="52"/>
      <c r="E48" s="53"/>
      <c r="F48" s="80">
        <f>SALARIOS!C45</f>
        <v>0.05</v>
      </c>
      <c r="G48" s="81">
        <f>+F48*H43</f>
        <v>30517.038661066254</v>
      </c>
      <c r="H48" s="42"/>
    </row>
    <row r="49" spans="1:8" ht="15" thickBot="1">
      <c r="A49" s="23"/>
      <c r="B49" s="23"/>
      <c r="C49" s="23"/>
      <c r="D49" s="23"/>
      <c r="E49" s="23"/>
      <c r="F49" s="23"/>
      <c r="G49" s="43" t="s">
        <v>289</v>
      </c>
      <c r="H49" s="82">
        <f>SUM(G46:G48)</f>
        <v>152585.19330533125</v>
      </c>
    </row>
    <row r="50" spans="1:8" ht="15" thickBot="1">
      <c r="A50" s="23"/>
      <c r="B50" s="23"/>
      <c r="C50" s="23"/>
      <c r="D50" s="23"/>
      <c r="E50" s="23"/>
      <c r="F50" s="23"/>
      <c r="G50" s="23"/>
      <c r="H50" s="23"/>
    </row>
    <row r="51" spans="1:8" ht="15" thickBot="1">
      <c r="A51" s="2"/>
      <c r="B51" s="2"/>
      <c r="C51" s="23"/>
      <c r="D51" s="70" t="s">
        <v>313</v>
      </c>
      <c r="E51" s="71"/>
      <c r="F51" s="71"/>
      <c r="G51" s="71"/>
      <c r="H51" s="44">
        <f>ROUND((H43+H49),0)</f>
        <v>762926</v>
      </c>
    </row>
  </sheetData>
  <mergeCells count="13">
    <mergeCell ref="A36:B36"/>
    <mergeCell ref="A14:C14"/>
    <mergeCell ref="A15:C15"/>
    <mergeCell ref="A16:C16"/>
    <mergeCell ref="A17:C17"/>
    <mergeCell ref="A20:C20"/>
    <mergeCell ref="A28:B28"/>
    <mergeCell ref="A13:C13"/>
    <mergeCell ref="A3:C4"/>
    <mergeCell ref="A5:C5"/>
    <mergeCell ref="D5:H5"/>
    <mergeCell ref="A11:C11"/>
    <mergeCell ref="A12:C12"/>
  </mergeCells>
  <pageMargins left="0.7" right="0.7" top="0.75" bottom="0.75" header="0.3" footer="0.3"/>
  <pageSetup paperSize="9" scale="9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zoomScaleNormal="100" workbookViewId="0">
      <selection activeCell="E17" sqref="E17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1744</v>
      </c>
      <c r="H7" s="23"/>
    </row>
    <row r="8" spans="1:8">
      <c r="A8" s="22" t="s">
        <v>1605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H39*10%</f>
        <v>19945.691000000006</v>
      </c>
      <c r="H12" s="34"/>
    </row>
    <row r="13" spans="1:8">
      <c r="A13" s="1191" t="s">
        <v>833</v>
      </c>
      <c r="B13" s="1192"/>
      <c r="C13" s="1193"/>
      <c r="D13" s="30" t="s">
        <v>5</v>
      </c>
      <c r="E13" s="31">
        <f>'EQUIPOS '!D10</f>
        <v>40267</v>
      </c>
      <c r="F13" s="115">
        <v>1</v>
      </c>
      <c r="G13" s="33">
        <f>+E13*F13</f>
        <v>40267</v>
      </c>
      <c r="H13" s="34"/>
    </row>
    <row r="14" spans="1:8">
      <c r="A14" s="1220" t="s">
        <v>837</v>
      </c>
      <c r="B14" s="1221"/>
      <c r="C14" s="1222"/>
      <c r="D14" s="35" t="s">
        <v>7</v>
      </c>
      <c r="E14" s="561">
        <f>'EQUIPOS '!D16</f>
        <v>41457</v>
      </c>
      <c r="F14" s="59">
        <v>0.1</v>
      </c>
      <c r="G14" s="370">
        <f>E14*F14</f>
        <v>4145.7</v>
      </c>
      <c r="H14" s="34"/>
    </row>
    <row r="15" spans="1:8">
      <c r="A15" s="134" t="s">
        <v>405</v>
      </c>
      <c r="B15" s="135"/>
      <c r="C15" s="133"/>
      <c r="D15" s="133" t="s">
        <v>1054</v>
      </c>
      <c r="E15" s="132">
        <f>MATERIALES!E21</f>
        <v>1392</v>
      </c>
      <c r="F15" s="59">
        <v>2</v>
      </c>
      <c r="G15" s="132">
        <f>E15*F15</f>
        <v>2784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67142.391000000003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499" t="s">
        <v>291</v>
      </c>
      <c r="E20" s="499" t="s">
        <v>292</v>
      </c>
      <c r="F20" s="499" t="s">
        <v>293</v>
      </c>
      <c r="G20" s="388" t="s">
        <v>287</v>
      </c>
      <c r="H20" s="484"/>
    </row>
    <row r="21" spans="1:8">
      <c r="A21" s="514" t="s">
        <v>116</v>
      </c>
      <c r="B21" s="515"/>
      <c r="C21" s="516"/>
      <c r="D21" s="406" t="s">
        <v>28</v>
      </c>
      <c r="E21" s="406">
        <f>MATERIALES!E14</f>
        <v>514</v>
      </c>
      <c r="F21" s="406">
        <v>450</v>
      </c>
      <c r="G21" s="500">
        <f>+E21*F21</f>
        <v>231300</v>
      </c>
      <c r="H21" s="21"/>
    </row>
    <row r="22" spans="1:8">
      <c r="A22" s="514" t="s">
        <v>49</v>
      </c>
      <c r="B22" s="515"/>
      <c r="C22" s="516"/>
      <c r="D22" s="406" t="s">
        <v>835</v>
      </c>
      <c r="E22" s="406">
        <f>MATERIALES!E10</f>
        <v>51566.666666666664</v>
      </c>
      <c r="F22" s="407">
        <v>0.67</v>
      </c>
      <c r="G22" s="500">
        <f>+E22*F22</f>
        <v>34549.666666666664</v>
      </c>
      <c r="H22" s="21"/>
    </row>
    <row r="23" spans="1:8">
      <c r="A23" s="514" t="s">
        <v>8</v>
      </c>
      <c r="B23" s="515"/>
      <c r="C23" s="516"/>
      <c r="D23" s="406" t="s">
        <v>835</v>
      </c>
      <c r="E23" s="406">
        <f>MATERIALES!E54</f>
        <v>81699.892283333334</v>
      </c>
      <c r="F23" s="407">
        <v>0.67</v>
      </c>
      <c r="G23" s="500">
        <f>+E23*F23</f>
        <v>54738.927829833337</v>
      </c>
      <c r="H23" s="21"/>
    </row>
    <row r="24" spans="1:8">
      <c r="A24" s="514" t="s">
        <v>830</v>
      </c>
      <c r="B24" s="515"/>
      <c r="C24" s="516"/>
      <c r="D24" s="406" t="s">
        <v>986</v>
      </c>
      <c r="E24" s="406">
        <f>MATERIALES!E5</f>
        <v>68</v>
      </c>
      <c r="F24" s="406">
        <v>250</v>
      </c>
      <c r="G24" s="500">
        <f>+E24*F24</f>
        <v>17000</v>
      </c>
      <c r="H24" s="21"/>
    </row>
    <row r="25" spans="1:8" ht="15" thickBot="1">
      <c r="A25" s="520" t="s">
        <v>832</v>
      </c>
      <c r="B25" s="521"/>
      <c r="C25" s="522"/>
      <c r="D25" s="523"/>
      <c r="E25" s="524"/>
      <c r="F25" s="525"/>
      <c r="G25" s="526">
        <f>SUM(G21:G24)*5%</f>
        <v>16879.429724825004</v>
      </c>
      <c r="H25" s="21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354468.02422132506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1185" t="s">
        <v>295</v>
      </c>
      <c r="B28" s="1187"/>
      <c r="C28" s="55" t="s">
        <v>296</v>
      </c>
      <c r="D28" s="141" t="s">
        <v>297</v>
      </c>
      <c r="E28" s="141" t="s">
        <v>298</v>
      </c>
      <c r="F28" s="141" t="s">
        <v>299</v>
      </c>
      <c r="G28" s="56" t="s">
        <v>287</v>
      </c>
      <c r="H28" s="29"/>
    </row>
    <row r="29" spans="1:8">
      <c r="A29" s="45" t="s">
        <v>49</v>
      </c>
      <c r="B29" s="46"/>
      <c r="C29" s="386">
        <f>F22</f>
        <v>0.67</v>
      </c>
      <c r="D29" s="58">
        <v>8</v>
      </c>
      <c r="E29" s="58">
        <f>D29*C29</f>
        <v>5.36</v>
      </c>
      <c r="F29" s="59">
        <f>'EQUIPOS '!D18</f>
        <v>1250</v>
      </c>
      <c r="G29" s="31">
        <f>F29*E29</f>
        <v>6700</v>
      </c>
      <c r="H29" s="34"/>
    </row>
    <row r="30" spans="1:8">
      <c r="A30" s="45" t="s">
        <v>8</v>
      </c>
      <c r="B30" s="46"/>
      <c r="C30" s="59">
        <f>F23</f>
        <v>0.67</v>
      </c>
      <c r="D30" s="30">
        <v>8</v>
      </c>
      <c r="E30" s="58">
        <f>D30*C30</f>
        <v>5.36</v>
      </c>
      <c r="F30" s="59">
        <f>'EQUIPOS '!D18</f>
        <v>1250</v>
      </c>
      <c r="G30" s="31">
        <f>F30*E30</f>
        <v>6700</v>
      </c>
      <c r="H30" s="34"/>
    </row>
    <row r="31" spans="1:8" ht="15" thickBot="1">
      <c r="A31" s="62"/>
      <c r="B31" s="63"/>
      <c r="C31" s="38"/>
      <c r="D31" s="39"/>
      <c r="E31" s="40"/>
      <c r="F31" s="4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13400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1185" t="s">
        <v>301</v>
      </c>
      <c r="B34" s="1187"/>
      <c r="C34" s="141" t="s">
        <v>302</v>
      </c>
      <c r="D34" s="141" t="s">
        <v>303</v>
      </c>
      <c r="E34" s="85" t="s">
        <v>304</v>
      </c>
      <c r="F34" s="64" t="s">
        <v>286</v>
      </c>
      <c r="G34" s="140" t="s">
        <v>287</v>
      </c>
      <c r="H34" s="29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0.21709593242338632</v>
      </c>
      <c r="G35" s="67">
        <f>+E35*F35</f>
        <v>19902.850000000006</v>
      </c>
      <c r="H35" s="34"/>
    </row>
    <row r="36" spans="1:8">
      <c r="A36" s="45" t="s">
        <v>408</v>
      </c>
      <c r="B36" s="46"/>
      <c r="C36" s="65">
        <f>+SALARIOS!C48*4</f>
        <v>130754.26666666666</v>
      </c>
      <c r="D36" s="66">
        <f>+SALARIOS!D48</f>
        <v>1.8056142176927319</v>
      </c>
      <c r="E36" s="31">
        <f>+C36*D36</f>
        <v>236091.76291732019</v>
      </c>
      <c r="F36" s="31">
        <v>0.65076035733531601</v>
      </c>
      <c r="G36" s="67">
        <f>+E36*F36</f>
        <v>153639.16</v>
      </c>
      <c r="H36" s="34"/>
    </row>
    <row r="37" spans="1:8">
      <c r="A37" s="45" t="s">
        <v>412</v>
      </c>
      <c r="B37" s="46"/>
      <c r="C37" s="65">
        <f>+SALARIOS!C50</f>
        <v>73150.25</v>
      </c>
      <c r="D37" s="66">
        <f>+SALARIOS!D50</f>
        <v>1.6318566965480863</v>
      </c>
      <c r="E37" s="31">
        <f>+C37*D37</f>
        <v>119370.72531666665</v>
      </c>
      <c r="F37" s="31">
        <v>0.21709594149866285</v>
      </c>
      <c r="G37" s="67">
        <f>+E37*F37</f>
        <v>25914.900000000016</v>
      </c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199456.91000000003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70" t="s">
        <v>306</v>
      </c>
      <c r="F41" s="71"/>
      <c r="G41" s="71"/>
      <c r="H41" s="44">
        <f>H18+H26+H32+H39</f>
        <v>634467.32522132504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72" t="s">
        <v>283</v>
      </c>
      <c r="B43" s="73"/>
      <c r="C43" s="73"/>
      <c r="D43" s="73"/>
      <c r="E43" s="74"/>
      <c r="F43" s="143" t="s">
        <v>308</v>
      </c>
      <c r="G43" s="142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(SALARIOS!C43)</f>
        <v>0.15</v>
      </c>
      <c r="G44" s="78">
        <f>++F44*H41</f>
        <v>95170.098783198759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(SALARIOS!C44)</f>
        <v>0.05</v>
      </c>
      <c r="G45" s="78">
        <f>+F45*H41</f>
        <v>31723.366261066254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SALARIOS!C45</f>
        <v>0.05</v>
      </c>
      <c r="G46" s="81">
        <f>+F46*H41</f>
        <v>31723.366261066254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158616.83130533126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70" t="s">
        <v>313</v>
      </c>
      <c r="E49" s="71"/>
      <c r="F49" s="71"/>
      <c r="G49" s="71"/>
      <c r="H49" s="44">
        <f>ROUND((H41+H47),0)</f>
        <v>793084</v>
      </c>
    </row>
  </sheetData>
  <mergeCells count="12">
    <mergeCell ref="A34:B34"/>
    <mergeCell ref="A3:C4"/>
    <mergeCell ref="A5:C5"/>
    <mergeCell ref="D5:H5"/>
    <mergeCell ref="A11:C11"/>
    <mergeCell ref="A12:C12"/>
    <mergeCell ref="A16:C16"/>
    <mergeCell ref="A17:C17"/>
    <mergeCell ref="A20:C20"/>
    <mergeCell ref="A28:B28"/>
    <mergeCell ref="A13:C13"/>
    <mergeCell ref="A14:C1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topLeftCell="A31" workbookViewId="0">
      <selection activeCell="D16" sqref="D16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417</v>
      </c>
      <c r="H7" s="23"/>
    </row>
    <row r="8" spans="1:8">
      <c r="A8" s="22" t="s">
        <v>416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H39*10%</f>
        <v>2097.2355490850132</v>
      </c>
      <c r="H12" s="34"/>
    </row>
    <row r="13" spans="1:8">
      <c r="A13" s="1226" t="s">
        <v>1078</v>
      </c>
      <c r="B13" s="1227"/>
      <c r="C13" s="1228"/>
      <c r="D13" s="381" t="s">
        <v>7</v>
      </c>
      <c r="E13" s="414">
        <f>+'EQUIPOS '!D13</f>
        <v>40267</v>
      </c>
      <c r="F13" s="414">
        <v>25</v>
      </c>
      <c r="G13" s="370">
        <f>E13/F13</f>
        <v>1610.68</v>
      </c>
      <c r="H13" s="34"/>
    </row>
    <row r="14" spans="1:8">
      <c r="A14" s="1226" t="s">
        <v>833</v>
      </c>
      <c r="B14" s="1227"/>
      <c r="C14" s="1228"/>
      <c r="D14" s="381" t="s">
        <v>5</v>
      </c>
      <c r="E14" s="414">
        <f>+'EQUIPOS '!D10</f>
        <v>40267</v>
      </c>
      <c r="F14" s="414">
        <v>0.1</v>
      </c>
      <c r="G14" s="370">
        <f>E14*F14</f>
        <v>4026.7000000000003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7734.6155490850142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542" t="s">
        <v>291</v>
      </c>
      <c r="E20" s="542" t="s">
        <v>292</v>
      </c>
      <c r="F20" s="542" t="s">
        <v>293</v>
      </c>
      <c r="G20" s="388" t="s">
        <v>287</v>
      </c>
      <c r="H20" s="484"/>
    </row>
    <row r="21" spans="1:8">
      <c r="A21" s="45" t="s">
        <v>406</v>
      </c>
      <c r="B21" s="46"/>
      <c r="C21" s="47"/>
      <c r="D21" s="100" t="s">
        <v>9</v>
      </c>
      <c r="E21" s="1070">
        <f>'5,2'!H26</f>
        <v>281533.24255262502</v>
      </c>
      <c r="F21" s="434">
        <v>0.105</v>
      </c>
      <c r="G21" s="485">
        <f>+E21*F21</f>
        <v>29560.990468025626</v>
      </c>
      <c r="H21" s="21"/>
    </row>
    <row r="22" spans="1:8">
      <c r="A22" s="45" t="s">
        <v>1077</v>
      </c>
      <c r="B22" s="46"/>
      <c r="C22" s="47"/>
      <c r="D22" s="30" t="s">
        <v>9</v>
      </c>
      <c r="E22" s="483">
        <f>+MATERIALES!E43</f>
        <v>33310.309433333336</v>
      </c>
      <c r="F22" s="416">
        <v>0.1</v>
      </c>
      <c r="G22" s="67">
        <f>E22*F22</f>
        <v>3331.0309433333337</v>
      </c>
      <c r="H22" s="21"/>
    </row>
    <row r="23" spans="1:8">
      <c r="A23" s="87" t="s">
        <v>1060</v>
      </c>
      <c r="B23" s="88"/>
      <c r="C23" s="89"/>
      <c r="D23" s="30" t="s">
        <v>1054</v>
      </c>
      <c r="E23" s="30">
        <f>MATERIALES!E49</f>
        <v>4666.670000000001</v>
      </c>
      <c r="F23" s="416">
        <v>1.02</v>
      </c>
      <c r="G23" s="485">
        <f>E23*F23</f>
        <v>4760.0034000000014</v>
      </c>
      <c r="H23" s="21"/>
    </row>
    <row r="24" spans="1:8">
      <c r="A24" s="547" t="s">
        <v>1059</v>
      </c>
      <c r="B24" s="20"/>
      <c r="C24" s="548"/>
      <c r="D24" s="90" t="s">
        <v>139</v>
      </c>
      <c r="E24" s="90">
        <f>MATERIALES!E42</f>
        <v>2588.3333333333335</v>
      </c>
      <c r="F24" s="461">
        <v>0.05</v>
      </c>
      <c r="G24" s="485">
        <f>E24*F24</f>
        <v>129.41666666666669</v>
      </c>
      <c r="H24" s="21"/>
    </row>
    <row r="25" spans="1:8" ht="15" thickBot="1">
      <c r="A25" s="62" t="s">
        <v>1061</v>
      </c>
      <c r="B25" s="68"/>
      <c r="C25" s="63"/>
      <c r="D25" s="38" t="s">
        <v>1054</v>
      </c>
      <c r="E25" s="38">
        <f>MATERIALES!E18</f>
        <v>1900</v>
      </c>
      <c r="F25" s="509">
        <v>0.5</v>
      </c>
      <c r="G25" s="389">
        <f>E25*F25</f>
        <v>950</v>
      </c>
      <c r="H25" s="21"/>
    </row>
    <row r="26" spans="1:8" ht="15" thickBot="1">
      <c r="A26" s="23"/>
      <c r="B26" s="23"/>
      <c r="C26" s="23"/>
      <c r="D26" s="23"/>
      <c r="E26" s="23"/>
      <c r="F26" s="23"/>
      <c r="G26" s="43" t="s">
        <v>289</v>
      </c>
      <c r="H26" s="44">
        <f>SUM(G21:G25)</f>
        <v>38731.441478025627</v>
      </c>
    </row>
    <row r="27" spans="1:8" ht="15" thickBot="1">
      <c r="A27" s="54" t="s">
        <v>294</v>
      </c>
      <c r="B27" s="54"/>
      <c r="C27" s="52"/>
      <c r="D27" s="23"/>
      <c r="E27" s="23"/>
      <c r="F27" s="23"/>
      <c r="G27" s="23"/>
      <c r="H27" s="23"/>
    </row>
    <row r="28" spans="1:8">
      <c r="A28" s="1185" t="s">
        <v>295</v>
      </c>
      <c r="B28" s="1187"/>
      <c r="C28" s="55" t="s">
        <v>296</v>
      </c>
      <c r="D28" s="141" t="s">
        <v>297</v>
      </c>
      <c r="E28" s="141" t="s">
        <v>298</v>
      </c>
      <c r="F28" s="141" t="s">
        <v>299</v>
      </c>
      <c r="G28" s="56" t="s">
        <v>287</v>
      </c>
      <c r="H28" s="29"/>
    </row>
    <row r="29" spans="1:8">
      <c r="A29" s="45"/>
      <c r="B29" s="46"/>
      <c r="C29" s="57"/>
      <c r="D29" s="58"/>
      <c r="E29" s="58"/>
      <c r="F29" s="59"/>
      <c r="G29" s="31"/>
      <c r="H29" s="34"/>
    </row>
    <row r="30" spans="1:8">
      <c r="A30" s="45"/>
      <c r="B30" s="46"/>
      <c r="C30" s="60"/>
      <c r="D30" s="30"/>
      <c r="E30" s="61"/>
      <c r="F30" s="31"/>
      <c r="G30" s="31"/>
      <c r="H30" s="34"/>
    </row>
    <row r="31" spans="1:8" ht="15" thickBot="1">
      <c r="A31" s="62"/>
      <c r="B31" s="63"/>
      <c r="C31" s="38"/>
      <c r="D31" s="39"/>
      <c r="E31" s="40"/>
      <c r="F31" s="41"/>
      <c r="G31" s="38"/>
      <c r="H31" s="34"/>
    </row>
    <row r="32" spans="1:8" ht="15" thickBot="1">
      <c r="A32" s="23"/>
      <c r="B32" s="23"/>
      <c r="C32" s="23"/>
      <c r="D32" s="23"/>
      <c r="E32" s="23"/>
      <c r="F32" s="23"/>
      <c r="G32" s="43" t="s">
        <v>289</v>
      </c>
      <c r="H32" s="44">
        <f>SUM(G29:G31)</f>
        <v>0</v>
      </c>
    </row>
    <row r="33" spans="1:8" ht="15" thickBot="1">
      <c r="A33" s="54" t="s">
        <v>300</v>
      </c>
      <c r="B33" s="54"/>
      <c r="C33" s="23"/>
      <c r="D33" s="23"/>
      <c r="E33" s="23"/>
      <c r="F33" s="23"/>
      <c r="G33" s="23"/>
      <c r="H33" s="23"/>
    </row>
    <row r="34" spans="1:8">
      <c r="A34" s="1185" t="s">
        <v>301</v>
      </c>
      <c r="B34" s="1187"/>
      <c r="C34" s="141" t="s">
        <v>302</v>
      </c>
      <c r="D34" s="141" t="s">
        <v>303</v>
      </c>
      <c r="E34" s="85" t="s">
        <v>304</v>
      </c>
      <c r="F34" s="64" t="s">
        <v>286</v>
      </c>
      <c r="G34" s="140" t="s">
        <v>287</v>
      </c>
      <c r="H34" s="29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</v>
      </c>
      <c r="G35" s="67">
        <f>+E35*F35</f>
        <v>9167.7673449841222</v>
      </c>
      <c r="H35" s="34"/>
    </row>
    <row r="36" spans="1:8">
      <c r="A36" s="45" t="s">
        <v>343</v>
      </c>
      <c r="B36" s="46"/>
      <c r="C36" s="65">
        <f>+SALARIOS!C48*2</f>
        <v>65377.133333333331</v>
      </c>
      <c r="D36" s="66">
        <f>+SALARIOS!D48</f>
        <v>1.8056142176927319</v>
      </c>
      <c r="E36" s="31">
        <f>+C36*D36</f>
        <v>118045.88145866009</v>
      </c>
      <c r="F36" s="31">
        <v>0.1</v>
      </c>
      <c r="G36" s="67">
        <f>+E36*F36</f>
        <v>11804.58814586601</v>
      </c>
      <c r="H36" s="34"/>
    </row>
    <row r="37" spans="1:8">
      <c r="A37" s="45"/>
      <c r="B37" s="46"/>
      <c r="C37" s="65"/>
      <c r="D37" s="66"/>
      <c r="E37" s="31"/>
      <c r="F37" s="31"/>
      <c r="G37" s="67"/>
      <c r="H37" s="34"/>
    </row>
    <row r="38" spans="1:8" ht="15" thickBot="1">
      <c r="A38" s="62"/>
      <c r="B38" s="68"/>
      <c r="C38" s="39"/>
      <c r="D38" s="53"/>
      <c r="E38" s="102"/>
      <c r="F38" s="53"/>
      <c r="G38" s="52"/>
      <c r="H38" s="42"/>
    </row>
    <row r="39" spans="1:8" ht="15" thickBot="1">
      <c r="A39" s="23"/>
      <c r="B39" s="23"/>
      <c r="C39" s="23"/>
      <c r="D39" s="23"/>
      <c r="E39" s="23"/>
      <c r="F39" s="23"/>
      <c r="G39" s="43" t="s">
        <v>289</v>
      </c>
      <c r="H39" s="44">
        <f>SUM(G35:G38)</f>
        <v>20972.355490850132</v>
      </c>
    </row>
    <row r="40" spans="1:8" ht="15" thickBot="1">
      <c r="A40" s="23"/>
      <c r="B40" s="23"/>
      <c r="C40" s="23"/>
      <c r="D40" s="23"/>
      <c r="E40" s="23"/>
      <c r="F40" s="23"/>
      <c r="G40" s="69"/>
      <c r="H40" s="20"/>
    </row>
    <row r="41" spans="1:8" ht="15" thickBot="1">
      <c r="A41" s="23"/>
      <c r="B41" s="23"/>
      <c r="C41" s="23"/>
      <c r="D41" s="23"/>
      <c r="E41" s="70" t="s">
        <v>306</v>
      </c>
      <c r="F41" s="71"/>
      <c r="G41" s="71"/>
      <c r="H41" s="44">
        <f>H18+H26+H32+H39</f>
        <v>67438.412517960765</v>
      </c>
    </row>
    <row r="42" spans="1:8" ht="15" thickBot="1">
      <c r="A42" s="25" t="s">
        <v>307</v>
      </c>
      <c r="B42" s="25"/>
      <c r="C42" s="23"/>
      <c r="D42" s="23"/>
      <c r="E42" s="23"/>
      <c r="F42" s="23"/>
      <c r="G42" s="23"/>
      <c r="H42" s="23"/>
    </row>
    <row r="43" spans="1:8">
      <c r="A43" s="72" t="s">
        <v>283</v>
      </c>
      <c r="B43" s="73"/>
      <c r="C43" s="73"/>
      <c r="D43" s="73"/>
      <c r="E43" s="74"/>
      <c r="F43" s="143" t="s">
        <v>308</v>
      </c>
      <c r="G43" s="142" t="s">
        <v>309</v>
      </c>
      <c r="H43" s="29"/>
    </row>
    <row r="44" spans="1:8">
      <c r="A44" s="45" t="s">
        <v>310</v>
      </c>
      <c r="B44" s="46"/>
      <c r="C44" s="46"/>
      <c r="D44" s="46"/>
      <c r="E44" s="47"/>
      <c r="F44" s="77">
        <f>(SALARIOS!C43)</f>
        <v>0.15</v>
      </c>
      <c r="G44" s="78">
        <f>++F44*H41</f>
        <v>10115.761877694114</v>
      </c>
      <c r="H44" s="79"/>
    </row>
    <row r="45" spans="1:8">
      <c r="A45" s="45" t="s">
        <v>311</v>
      </c>
      <c r="B45" s="46"/>
      <c r="C45" s="46"/>
      <c r="D45" s="46"/>
      <c r="E45" s="47"/>
      <c r="F45" s="77">
        <f>(SALARIOS!C44)</f>
        <v>0.05</v>
      </c>
      <c r="G45" s="78">
        <f>+F45*H41</f>
        <v>3371.9206258980385</v>
      </c>
      <c r="H45" s="79"/>
    </row>
    <row r="46" spans="1:8" ht="15" thickBot="1">
      <c r="A46" s="51" t="s">
        <v>312</v>
      </c>
      <c r="B46" s="52"/>
      <c r="C46" s="52"/>
      <c r="D46" s="52"/>
      <c r="E46" s="53"/>
      <c r="F46" s="80">
        <f>SALARIOS!C45</f>
        <v>0.05</v>
      </c>
      <c r="G46" s="81">
        <f>+F46*H41</f>
        <v>3371.9206258980385</v>
      </c>
      <c r="H46" s="42"/>
    </row>
    <row r="47" spans="1:8" ht="15" thickBot="1">
      <c r="A47" s="23"/>
      <c r="B47" s="23"/>
      <c r="C47" s="23"/>
      <c r="D47" s="23"/>
      <c r="E47" s="23"/>
      <c r="F47" s="23"/>
      <c r="G47" s="43" t="s">
        <v>289</v>
      </c>
      <c r="H47" s="82">
        <f>SUM(G44:G46)</f>
        <v>16859.603129490191</v>
      </c>
    </row>
    <row r="48" spans="1:8" ht="15" thickBot="1">
      <c r="A48" s="23"/>
      <c r="B48" s="23"/>
      <c r="C48" s="23"/>
      <c r="D48" s="23"/>
      <c r="E48" s="23"/>
      <c r="F48" s="23"/>
      <c r="G48" s="23"/>
      <c r="H48" s="23"/>
    </row>
    <row r="49" spans="1:8" ht="15" thickBot="1">
      <c r="A49" s="2"/>
      <c r="B49" s="2"/>
      <c r="C49" s="23"/>
      <c r="D49" s="70" t="s">
        <v>313</v>
      </c>
      <c r="E49" s="71"/>
      <c r="F49" s="71"/>
      <c r="G49" s="71"/>
      <c r="H49" s="44">
        <f>ROUND((H41+H47),0)</f>
        <v>84298</v>
      </c>
    </row>
  </sheetData>
  <mergeCells count="13">
    <mergeCell ref="A34:B34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8:B28"/>
    <mergeCell ref="A13:C1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8"/>
  <sheetViews>
    <sheetView workbookViewId="0">
      <selection activeCell="P27" sqref="P27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950</v>
      </c>
      <c r="H7" s="23"/>
    </row>
    <row r="8" spans="1:8" ht="22.5" customHeight="1">
      <c r="A8" s="1235" t="s">
        <v>1267</v>
      </c>
      <c r="B8" s="1235"/>
      <c r="C8" s="1235"/>
      <c r="D8" s="1235"/>
      <c r="E8" s="1235"/>
      <c r="F8" s="1235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1808.4073701500552</v>
      </c>
      <c r="H12" s="34"/>
    </row>
    <row r="13" spans="1:8">
      <c r="A13" s="1226" t="s">
        <v>833</v>
      </c>
      <c r="B13" s="1227"/>
      <c r="C13" s="1228"/>
      <c r="D13" s="381" t="s">
        <v>5</v>
      </c>
      <c r="E13" s="630">
        <f>+'EQUIPOS '!D10</f>
        <v>40267</v>
      </c>
      <c r="F13" s="414">
        <v>0.03</v>
      </c>
      <c r="G13" s="632">
        <f>E13*F13</f>
        <v>1208.01</v>
      </c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2" ht="15" thickBot="1">
      <c r="A17" s="1194"/>
      <c r="B17" s="1195"/>
      <c r="C17" s="1196"/>
      <c r="D17" s="38"/>
      <c r="E17" s="39"/>
      <c r="F17" s="40"/>
      <c r="G17" s="41"/>
      <c r="H17" s="42"/>
    </row>
    <row r="18" spans="1:12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3016.4173701500549</v>
      </c>
    </row>
    <row r="19" spans="1:12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2">
      <c r="A20" s="1209" t="s">
        <v>283</v>
      </c>
      <c r="B20" s="1210"/>
      <c r="C20" s="1211"/>
      <c r="D20" s="143" t="s">
        <v>291</v>
      </c>
      <c r="E20" s="143" t="s">
        <v>292</v>
      </c>
      <c r="F20" s="143" t="s">
        <v>293</v>
      </c>
      <c r="G20" s="142" t="s">
        <v>287</v>
      </c>
      <c r="H20" s="29"/>
      <c r="J20" s="3"/>
      <c r="K20" s="3"/>
      <c r="L20" s="3"/>
    </row>
    <row r="21" spans="1:12">
      <c r="A21" s="86" t="s">
        <v>406</v>
      </c>
      <c r="B21" s="46"/>
      <c r="C21" s="47"/>
      <c r="D21" s="100" t="s">
        <v>9</v>
      </c>
      <c r="E21" s="1071">
        <f>'5,2'!H26</f>
        <v>281533.24255262502</v>
      </c>
      <c r="F21" s="815">
        <v>7.3999999999999996E-2</v>
      </c>
      <c r="G21" s="96">
        <f>+E21*F21</f>
        <v>20833.459948894251</v>
      </c>
      <c r="H21" s="21"/>
      <c r="J21" s="604"/>
      <c r="K21" s="3"/>
      <c r="L21" s="3"/>
    </row>
    <row r="22" spans="1:12">
      <c r="A22" s="86" t="s">
        <v>130</v>
      </c>
      <c r="B22" s="46"/>
      <c r="C22" s="47"/>
      <c r="D22" s="30"/>
      <c r="E22" s="101">
        <f>MATERIALES!E21</f>
        <v>1392</v>
      </c>
      <c r="F22" s="115">
        <v>2.2999999999999998</v>
      </c>
      <c r="G22" s="31">
        <f>+E22*F22</f>
        <v>3201.6</v>
      </c>
      <c r="H22" s="21"/>
      <c r="J22" s="3"/>
      <c r="K22" s="3"/>
      <c r="L22" s="3"/>
    </row>
    <row r="23" spans="1:12">
      <c r="A23" s="87"/>
      <c r="B23" s="88"/>
      <c r="C23" s="89"/>
      <c r="D23" s="90"/>
      <c r="E23" s="91"/>
      <c r="F23" s="92"/>
      <c r="G23" s="97"/>
      <c r="H23" s="21"/>
      <c r="J23" s="3"/>
      <c r="K23" s="3"/>
      <c r="L23" s="3"/>
    </row>
    <row r="24" spans="1:12" ht="15" thickBot="1">
      <c r="A24" s="51"/>
      <c r="B24" s="52"/>
      <c r="C24" s="53"/>
      <c r="D24" s="38"/>
      <c r="E24" s="39"/>
      <c r="F24" s="40"/>
      <c r="G24" s="41"/>
      <c r="H24" s="42"/>
      <c r="J24" s="812"/>
      <c r="K24" s="3"/>
      <c r="L24" s="3"/>
    </row>
    <row r="25" spans="1:12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24035.05994889425</v>
      </c>
      <c r="J25" s="813"/>
    </row>
    <row r="26" spans="1:12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12">
      <c r="A27" s="1185" t="s">
        <v>295</v>
      </c>
      <c r="B27" s="1187"/>
      <c r="C27" s="55" t="s">
        <v>296</v>
      </c>
      <c r="D27" s="141" t="s">
        <v>297</v>
      </c>
      <c r="E27" s="141" t="s">
        <v>298</v>
      </c>
      <c r="F27" s="141" t="s">
        <v>299</v>
      </c>
      <c r="G27" s="56" t="s">
        <v>287</v>
      </c>
      <c r="H27" s="29"/>
      <c r="J27" s="814"/>
    </row>
    <row r="28" spans="1:12">
      <c r="A28" s="45"/>
      <c r="B28" s="46"/>
      <c r="C28" s="57"/>
      <c r="D28" s="58"/>
      <c r="E28" s="58"/>
      <c r="F28" s="59"/>
      <c r="G28" s="31"/>
      <c r="H28" s="34"/>
    </row>
    <row r="29" spans="1:12">
      <c r="A29" s="45"/>
      <c r="B29" s="46"/>
      <c r="C29" s="60"/>
      <c r="D29" s="30"/>
      <c r="E29" s="61"/>
      <c r="F29" s="31"/>
      <c r="G29" s="31"/>
      <c r="H29" s="34"/>
    </row>
    <row r="30" spans="1:12" ht="15" thickBot="1">
      <c r="A30" s="62"/>
      <c r="B30" s="63"/>
      <c r="C30" s="38"/>
      <c r="D30" s="39"/>
      <c r="E30" s="40"/>
      <c r="F30" s="41"/>
      <c r="G30" s="38"/>
      <c r="H30" s="34"/>
    </row>
    <row r="31" spans="1:12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12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1" t="s">
        <v>302</v>
      </c>
      <c r="D33" s="141" t="s">
        <v>303</v>
      </c>
      <c r="E33" s="85" t="s">
        <v>304</v>
      </c>
      <c r="F33" s="64" t="s">
        <v>286</v>
      </c>
      <c r="G33" s="140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59">
        <v>0.12</v>
      </c>
      <c r="G34" s="67">
        <f>+E34*F34</f>
        <v>11001.320813980945</v>
      </c>
      <c r="H34" s="34"/>
    </row>
    <row r="35" spans="1:8">
      <c r="A35" s="45" t="s">
        <v>807</v>
      </c>
      <c r="B35" s="46"/>
      <c r="C35" s="65">
        <f>+SALARIOS!C48</f>
        <v>32688.566666666666</v>
      </c>
      <c r="D35" s="66">
        <f>+SALARIOS!D48</f>
        <v>1.8056142176927319</v>
      </c>
      <c r="E35" s="31">
        <f>+C35*D35</f>
        <v>59022.940729330046</v>
      </c>
      <c r="F35" s="59">
        <v>0.12</v>
      </c>
      <c r="G35" s="67">
        <f>+E35*F35</f>
        <v>7082.7528875196049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18084.073701500551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45135.551020544852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3" t="s">
        <v>308</v>
      </c>
      <c r="G42" s="142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6770.3326530817276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2256.7775510272427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2256.7775510272427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11283.887755136213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56419</v>
      </c>
    </row>
  </sheetData>
  <mergeCells count="14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13:C13"/>
    <mergeCell ref="A8:F8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8"/>
  <sheetViews>
    <sheetView zoomScaleNormal="100" workbookViewId="0">
      <selection activeCell="G8" sqref="G8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1608</v>
      </c>
      <c r="H7" s="23"/>
    </row>
    <row r="8" spans="1:8">
      <c r="A8" s="22" t="s">
        <v>951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52" t="s">
        <v>284</v>
      </c>
      <c r="E11" s="27" t="s">
        <v>285</v>
      </c>
      <c r="F11" s="452" t="s">
        <v>286</v>
      </c>
      <c r="G11" s="451" t="s">
        <v>287</v>
      </c>
      <c r="H11" s="29"/>
    </row>
    <row r="12" spans="1:8">
      <c r="A12" s="1217" t="s">
        <v>952</v>
      </c>
      <c r="B12" s="1218"/>
      <c r="C12" s="1219"/>
      <c r="D12" s="30"/>
      <c r="E12" s="48"/>
      <c r="F12" s="120"/>
      <c r="G12" s="33">
        <f>H38*10%</f>
        <v>7538.6970364447134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10" ht="15" thickBot="1">
      <c r="A17" s="1194"/>
      <c r="B17" s="1195"/>
      <c r="C17" s="1196"/>
      <c r="D17" s="38"/>
      <c r="E17" s="39"/>
      <c r="F17" s="40"/>
      <c r="G17" s="41"/>
      <c r="H17" s="42"/>
    </row>
    <row r="18" spans="1:10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7538.6970364447134</v>
      </c>
    </row>
    <row r="19" spans="1:10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0">
      <c r="A20" s="1209" t="s">
        <v>283</v>
      </c>
      <c r="B20" s="1210"/>
      <c r="C20" s="1211"/>
      <c r="D20" s="454" t="s">
        <v>291</v>
      </c>
      <c r="E20" s="454" t="s">
        <v>292</v>
      </c>
      <c r="F20" s="454" t="s">
        <v>293</v>
      </c>
      <c r="G20" s="453" t="s">
        <v>287</v>
      </c>
      <c r="H20" s="29"/>
    </row>
    <row r="21" spans="1:10">
      <c r="A21" s="1215" t="s">
        <v>116</v>
      </c>
      <c r="B21" s="1207"/>
      <c r="C21" s="1208"/>
      <c r="D21" s="100" t="s">
        <v>28</v>
      </c>
      <c r="E21" s="98">
        <f>MATERIALES!E14</f>
        <v>514</v>
      </c>
      <c r="F21" s="36">
        <v>454</v>
      </c>
      <c r="G21" s="96">
        <f>+E21*F21</f>
        <v>233356</v>
      </c>
      <c r="H21" s="21"/>
    </row>
    <row r="22" spans="1:10">
      <c r="A22" s="86" t="s">
        <v>49</v>
      </c>
      <c r="B22" s="46"/>
      <c r="C22" s="47"/>
      <c r="D22" s="30" t="s">
        <v>9</v>
      </c>
      <c r="E22" s="101">
        <f>MATERIALES!E10</f>
        <v>51566.666666666664</v>
      </c>
      <c r="F22" s="31">
        <v>1.1000000000000001</v>
      </c>
      <c r="G22" s="31">
        <f>+E22*F22</f>
        <v>56723.333333333336</v>
      </c>
      <c r="H22" s="21"/>
    </row>
    <row r="23" spans="1:10">
      <c r="A23" s="87" t="s">
        <v>830</v>
      </c>
      <c r="B23" s="88"/>
      <c r="C23" s="89"/>
      <c r="D23" s="90" t="s">
        <v>47</v>
      </c>
      <c r="E23" s="91">
        <f>MATERIALES!E5</f>
        <v>68</v>
      </c>
      <c r="F23" s="91">
        <v>250</v>
      </c>
      <c r="G23" s="31">
        <f>+E23*F23</f>
        <v>17000</v>
      </c>
      <c r="H23" s="21"/>
    </row>
    <row r="24" spans="1:10" ht="15" thickBot="1">
      <c r="A24" s="1223" t="s">
        <v>832</v>
      </c>
      <c r="B24" s="1224"/>
      <c r="C24" s="1225"/>
      <c r="D24" s="501"/>
      <c r="E24" s="502"/>
      <c r="F24" s="503"/>
      <c r="G24" s="504">
        <f>SUM(G21:G23)*5%</f>
        <v>15353.966666666667</v>
      </c>
      <c r="H24" s="42"/>
      <c r="J24" s="148"/>
    </row>
    <row r="25" spans="1:10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322433.3</v>
      </c>
    </row>
    <row r="26" spans="1:10" ht="15" thickBot="1">
      <c r="A26" s="54" t="s">
        <v>294</v>
      </c>
      <c r="B26" s="54"/>
      <c r="C26" s="52"/>
      <c r="D26" s="23"/>
      <c r="E26" s="23"/>
      <c r="F26" s="23"/>
      <c r="G26" s="23"/>
      <c r="H26" s="23"/>
      <c r="J26" s="148"/>
    </row>
    <row r="27" spans="1:10">
      <c r="A27" s="1185" t="s">
        <v>295</v>
      </c>
      <c r="B27" s="1187"/>
      <c r="C27" s="55" t="s">
        <v>296</v>
      </c>
      <c r="D27" s="452" t="s">
        <v>297</v>
      </c>
      <c r="E27" s="452" t="s">
        <v>298</v>
      </c>
      <c r="F27" s="452" t="s">
        <v>299</v>
      </c>
      <c r="G27" s="56" t="s">
        <v>287</v>
      </c>
      <c r="H27" s="29"/>
    </row>
    <row r="28" spans="1:10">
      <c r="A28" s="45" t="s">
        <v>1607</v>
      </c>
      <c r="B28" s="46"/>
      <c r="C28" s="57">
        <f>+F22</f>
        <v>1.1000000000000001</v>
      </c>
      <c r="D28" s="58">
        <v>8</v>
      </c>
      <c r="E28" s="58"/>
      <c r="F28" s="59">
        <f>+'EQUIPOS '!D18</f>
        <v>1250</v>
      </c>
      <c r="G28" s="31">
        <f>+C28*D28*F28</f>
        <v>11000</v>
      </c>
      <c r="H28" s="34"/>
      <c r="J28" s="148"/>
    </row>
    <row r="29" spans="1:10">
      <c r="A29" s="45"/>
      <c r="B29" s="46"/>
      <c r="C29" s="60"/>
      <c r="D29" s="30"/>
      <c r="E29" s="61"/>
      <c r="F29" s="31"/>
      <c r="G29" s="31"/>
      <c r="H29" s="34"/>
    </row>
    <row r="30" spans="1:10" ht="15" thickBot="1">
      <c r="A30" s="62"/>
      <c r="B30" s="63"/>
      <c r="C30" s="38"/>
      <c r="D30" s="39"/>
      <c r="E30" s="40"/>
      <c r="F30" s="41"/>
      <c r="G30" s="38"/>
      <c r="H30" s="34"/>
    </row>
    <row r="31" spans="1:10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11000</v>
      </c>
    </row>
    <row r="32" spans="1:10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452" t="s">
        <v>302</v>
      </c>
      <c r="D33" s="452" t="s">
        <v>303</v>
      </c>
      <c r="E33" s="85" t="s">
        <v>304</v>
      </c>
      <c r="F33" s="64" t="s">
        <v>286</v>
      </c>
      <c r="G33" s="451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0.23</v>
      </c>
      <c r="G34" s="67">
        <f>+E34*F34</f>
        <v>21085.86489346348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0.23</v>
      </c>
      <c r="G35" s="67">
        <f>+E35*F35</f>
        <v>54301.105470983646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75386.97036444713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416358.96740089182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454" t="s">
        <v>308</v>
      </c>
      <c r="G42" s="453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62453.845110133771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20817.948370044593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20817.948370044593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104089.74185022296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520449</v>
      </c>
    </row>
  </sheetData>
  <mergeCells count="14">
    <mergeCell ref="A33:B33"/>
    <mergeCell ref="A21:C21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24:C24"/>
  </mergeCells>
  <pageMargins left="0.7" right="0.7" top="0.75" bottom="0.75" header="0.3" footer="0.3"/>
  <pageSetup paperSize="9" scale="9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"/>
  <sheetViews>
    <sheetView workbookViewId="0">
      <selection activeCell="Q32" sqref="Q32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22</v>
      </c>
      <c r="B7" s="24"/>
      <c r="C7" s="23"/>
      <c r="D7" s="2"/>
      <c r="E7" s="24"/>
      <c r="F7" s="2"/>
      <c r="G7" s="24" t="s">
        <v>954</v>
      </c>
      <c r="H7" s="23"/>
    </row>
    <row r="8" spans="1:8">
      <c r="A8" s="22" t="s">
        <v>953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452" t="s">
        <v>284</v>
      </c>
      <c r="E11" s="27" t="s">
        <v>285</v>
      </c>
      <c r="F11" s="452" t="s">
        <v>286</v>
      </c>
      <c r="G11" s="451" t="s">
        <v>287</v>
      </c>
      <c r="H11" s="29"/>
    </row>
    <row r="12" spans="1:8">
      <c r="A12" s="1217" t="s">
        <v>952</v>
      </c>
      <c r="B12" s="1218"/>
      <c r="C12" s="1219"/>
      <c r="D12" s="30"/>
      <c r="E12" s="48"/>
      <c r="F12" s="120"/>
      <c r="G12" s="33">
        <f>H38*10%</f>
        <v>5522.5371217411803</v>
      </c>
      <c r="H12" s="34"/>
    </row>
    <row r="13" spans="1:8">
      <c r="A13" s="134"/>
      <c r="B13" s="135"/>
      <c r="C13" s="133"/>
      <c r="D13" s="133"/>
      <c r="E13" s="132"/>
      <c r="F13" s="132"/>
      <c r="G13" s="132"/>
      <c r="H13" s="34"/>
    </row>
    <row r="14" spans="1:8">
      <c r="A14" s="1220"/>
      <c r="B14" s="1221"/>
      <c r="C14" s="1222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5522.5371217411803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454" t="s">
        <v>291</v>
      </c>
      <c r="E20" s="454" t="s">
        <v>292</v>
      </c>
      <c r="F20" s="454" t="s">
        <v>293</v>
      </c>
      <c r="G20" s="453" t="s">
        <v>287</v>
      </c>
      <c r="H20" s="29"/>
    </row>
    <row r="21" spans="1:8">
      <c r="A21" s="1215" t="s">
        <v>988</v>
      </c>
      <c r="B21" s="1207"/>
      <c r="C21" s="1208"/>
      <c r="D21" s="100" t="s">
        <v>28</v>
      </c>
      <c r="E21" s="482">
        <f>MATERIALES!E14</f>
        <v>514</v>
      </c>
      <c r="F21" s="35">
        <v>364</v>
      </c>
      <c r="G21" s="50">
        <f>+E21*F21</f>
        <v>187096</v>
      </c>
      <c r="H21" s="34"/>
    </row>
    <row r="22" spans="1:8">
      <c r="A22" s="86" t="s">
        <v>49</v>
      </c>
      <c r="B22" s="46"/>
      <c r="C22" s="47"/>
      <c r="D22" s="30" t="s">
        <v>9</v>
      </c>
      <c r="E22" s="483">
        <f>MATERIALES!E10</f>
        <v>51566.666666666664</v>
      </c>
      <c r="F22" s="59">
        <v>1.1599999999999999</v>
      </c>
      <c r="G22" s="33">
        <f>+E22*F22</f>
        <v>59817.333333333328</v>
      </c>
      <c r="H22" s="34"/>
    </row>
    <row r="23" spans="1:8">
      <c r="A23" s="87" t="s">
        <v>830</v>
      </c>
      <c r="B23" s="88"/>
      <c r="C23" s="89"/>
      <c r="D23" s="90" t="s">
        <v>47</v>
      </c>
      <c r="E23" s="90">
        <f>MATERIALES!E5</f>
        <v>68</v>
      </c>
      <c r="F23" s="90">
        <v>240</v>
      </c>
      <c r="G23" s="33">
        <f>+E23*F23</f>
        <v>16320</v>
      </c>
      <c r="H23" s="34"/>
    </row>
    <row r="24" spans="1:8" ht="15" thickBot="1">
      <c r="A24" s="1223" t="s">
        <v>832</v>
      </c>
      <c r="B24" s="1224"/>
      <c r="C24" s="1225"/>
      <c r="D24" s="501"/>
      <c r="E24" s="502"/>
      <c r="F24" s="503"/>
      <c r="G24" s="504">
        <f>SUM(G21:G23)*5%</f>
        <v>13161.666666666666</v>
      </c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276395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452" t="s">
        <v>297</v>
      </c>
      <c r="E27" s="452" t="s">
        <v>298</v>
      </c>
      <c r="F27" s="452" t="s">
        <v>299</v>
      </c>
      <c r="G27" s="56" t="s">
        <v>287</v>
      </c>
      <c r="H27" s="29"/>
    </row>
    <row r="28" spans="1:8">
      <c r="A28" s="45" t="s">
        <v>1607</v>
      </c>
      <c r="B28" s="46"/>
      <c r="C28" s="57">
        <f>+F22</f>
        <v>1.1599999999999999</v>
      </c>
      <c r="D28" s="58">
        <v>8</v>
      </c>
      <c r="E28" s="58"/>
      <c r="F28" s="59">
        <f>+'EQUIPOS '!D18</f>
        <v>1250</v>
      </c>
      <c r="G28" s="31">
        <f>+C28*D28*F28</f>
        <v>11600</v>
      </c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11600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452" t="s">
        <v>302</v>
      </c>
      <c r="D33" s="452" t="s">
        <v>303</v>
      </c>
      <c r="E33" s="85" t="s">
        <v>304</v>
      </c>
      <c r="F33" s="64" t="s">
        <v>286</v>
      </c>
      <c r="G33" s="451" t="s">
        <v>287</v>
      </c>
      <c r="H33" s="29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31">
        <v>0.17</v>
      </c>
      <c r="G34" s="67">
        <f>+E34*F34</f>
        <v>15585.204486473007</v>
      </c>
      <c r="H34" s="34"/>
    </row>
    <row r="35" spans="1:8">
      <c r="A35" s="45" t="s">
        <v>408</v>
      </c>
      <c r="B35" s="46"/>
      <c r="C35" s="65">
        <f>+SALARIOS!C48*4</f>
        <v>130754.26666666666</v>
      </c>
      <c r="D35" s="66">
        <f>+SALARIOS!D48</f>
        <v>1.8056142176927319</v>
      </c>
      <c r="E35" s="31">
        <f>+C35*D35</f>
        <v>236091.76291732019</v>
      </c>
      <c r="F35" s="31">
        <v>0.1679015237173728</v>
      </c>
      <c r="G35" s="67">
        <f>+E35*F35</f>
        <v>39640.166730938792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55225.371217411797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348742.90833915293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454" t="s">
        <v>308</v>
      </c>
      <c r="G42" s="453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52311.436250872939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17437.145416957646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17437.145416957646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87185.727084788232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435929</v>
      </c>
    </row>
  </sheetData>
  <mergeCells count="14">
    <mergeCell ref="A14:C14"/>
    <mergeCell ref="A3:C4"/>
    <mergeCell ref="A5:C5"/>
    <mergeCell ref="D5:H5"/>
    <mergeCell ref="A11:C11"/>
    <mergeCell ref="A12:C12"/>
    <mergeCell ref="A33:B33"/>
    <mergeCell ref="A15:C15"/>
    <mergeCell ref="A16:C16"/>
    <mergeCell ref="A17:C17"/>
    <mergeCell ref="A20:C20"/>
    <mergeCell ref="A21:C21"/>
    <mergeCell ref="A27:B27"/>
    <mergeCell ref="A24:C24"/>
  </mergeCells>
  <pageMargins left="0.7" right="0.7" top="0.75" bottom="0.75" header="0.3" footer="0.3"/>
  <pageSetup paperSize="9" scale="9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16" workbookViewId="0"/>
  </sheetViews>
  <sheetFormatPr baseColWidth="10" defaultRowHeight="14.4"/>
  <cols>
    <col min="3" max="3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420</v>
      </c>
      <c r="H7" s="23"/>
    </row>
    <row r="8" spans="1:8">
      <c r="A8" s="22" t="s">
        <v>418</v>
      </c>
      <c r="B8" s="24"/>
      <c r="C8" s="23"/>
      <c r="D8" s="24"/>
      <c r="E8" s="24"/>
      <c r="F8" s="24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1" t="s">
        <v>284</v>
      </c>
      <c r="E11" s="27" t="s">
        <v>285</v>
      </c>
      <c r="F11" s="141" t="s">
        <v>286</v>
      </c>
      <c r="G11" s="140" t="s">
        <v>287</v>
      </c>
      <c r="H11" s="29"/>
    </row>
    <row r="12" spans="1:8">
      <c r="A12" s="45" t="s">
        <v>834</v>
      </c>
      <c r="B12" s="46"/>
      <c r="C12" s="47"/>
      <c r="D12" s="30"/>
      <c r="E12" s="48"/>
      <c r="F12" s="120"/>
      <c r="G12" s="33">
        <f>H38*10%</f>
        <v>590.22900000000016</v>
      </c>
      <c r="H12" s="34"/>
    </row>
    <row r="13" spans="1:8">
      <c r="A13" s="134" t="s">
        <v>419</v>
      </c>
      <c r="B13" s="135"/>
      <c r="C13" s="133"/>
      <c r="D13" s="133" t="s">
        <v>5</v>
      </c>
      <c r="E13" s="132">
        <f>+'EQUIPOS '!D17</f>
        <v>105700</v>
      </c>
      <c r="F13" s="31">
        <v>0.03</v>
      </c>
      <c r="G13" s="132">
        <f>+E13*F13</f>
        <v>3171</v>
      </c>
      <c r="H13" s="34"/>
    </row>
    <row r="14" spans="1:8">
      <c r="A14" s="1220" t="s">
        <v>55</v>
      </c>
      <c r="B14" s="1221"/>
      <c r="C14" s="1222"/>
      <c r="D14" s="35" t="s">
        <v>5</v>
      </c>
      <c r="E14" s="36">
        <f>+'EQUIPOS '!D12</f>
        <v>154900</v>
      </c>
      <c r="F14" s="31">
        <v>2.7888960619754766E-2</v>
      </c>
      <c r="G14" s="507">
        <f>+E14*F14</f>
        <v>4320.0000000000136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8081.2290000000139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3" t="s">
        <v>291</v>
      </c>
      <c r="E20" s="143" t="s">
        <v>292</v>
      </c>
      <c r="F20" s="143" t="s">
        <v>293</v>
      </c>
      <c r="G20" s="142" t="s">
        <v>287</v>
      </c>
      <c r="H20" s="29"/>
    </row>
    <row r="21" spans="1:8">
      <c r="A21" s="86" t="s">
        <v>1076</v>
      </c>
      <c r="B21" s="46"/>
      <c r="C21" s="47"/>
      <c r="D21" s="100" t="s">
        <v>9</v>
      </c>
      <c r="E21" s="98">
        <f>+MATERIALES!E11</f>
        <v>65603.117366666658</v>
      </c>
      <c r="F21" s="113">
        <v>1.3</v>
      </c>
      <c r="G21" s="96">
        <f>+E21*F21</f>
        <v>85284.052576666654</v>
      </c>
      <c r="H21" s="21"/>
    </row>
    <row r="22" spans="1:8">
      <c r="A22" s="86" t="s">
        <v>830</v>
      </c>
      <c r="B22" s="46"/>
      <c r="C22" s="47"/>
      <c r="D22" s="30" t="s">
        <v>836</v>
      </c>
      <c r="E22" s="536">
        <f>MATERIALES!E5</f>
        <v>68</v>
      </c>
      <c r="F22" s="30">
        <v>24</v>
      </c>
      <c r="G22" s="31">
        <f>E22*F22</f>
        <v>1632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86916.052576666654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1" t="s">
        <v>297</v>
      </c>
      <c r="E27" s="141" t="s">
        <v>298</v>
      </c>
      <c r="F27" s="141" t="s">
        <v>299</v>
      </c>
      <c r="G27" s="56" t="s">
        <v>287</v>
      </c>
      <c r="H27" s="29"/>
    </row>
    <row r="28" spans="1:8">
      <c r="A28" s="45" t="s">
        <v>1076</v>
      </c>
      <c r="B28" s="46"/>
      <c r="C28" s="121">
        <f>F21</f>
        <v>1.3</v>
      </c>
      <c r="D28" s="58">
        <v>8</v>
      </c>
      <c r="E28" s="58">
        <f>C28*D28</f>
        <v>10.4</v>
      </c>
      <c r="F28" s="59">
        <f>'EQUIPOS '!D18</f>
        <v>1250</v>
      </c>
      <c r="G28" s="31">
        <f>E28*F28</f>
        <v>13000</v>
      </c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13000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1" t="s">
        <v>302</v>
      </c>
      <c r="D33" s="141" t="s">
        <v>303</v>
      </c>
      <c r="E33" s="85" t="s">
        <v>304</v>
      </c>
      <c r="F33" s="64" t="s">
        <v>286</v>
      </c>
      <c r="G33" s="140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2.5000000000000001E-2</v>
      </c>
      <c r="G34" s="67">
        <f>+E34*F34</f>
        <v>2951.1470364665024</v>
      </c>
      <c r="H34" s="34"/>
    </row>
    <row r="35" spans="1:8">
      <c r="A35" s="45" t="s">
        <v>403</v>
      </c>
      <c r="B35" s="125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3.2190421642278373E-2</v>
      </c>
      <c r="G35" s="67">
        <f>+E35*F35</f>
        <v>2951.142963533498</v>
      </c>
      <c r="H35" s="21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5902.2900000000009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113899.57157666667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3" t="s">
        <v>308</v>
      </c>
      <c r="G42" s="142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17084.9357365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5694.9785788333338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5694.9785788333338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28474.892894166667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142374</v>
      </c>
    </row>
  </sheetData>
  <mergeCells count="11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19" zoomScaleNormal="100" workbookViewId="0">
      <selection activeCell="A14" sqref="A14:C14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421</v>
      </c>
      <c r="H7" s="23"/>
    </row>
    <row r="8" spans="1:8">
      <c r="A8" s="22" t="s">
        <v>422</v>
      </c>
      <c r="B8" s="24"/>
      <c r="C8" s="23"/>
      <c r="D8" s="24"/>
      <c r="E8" s="24"/>
      <c r="F8" s="24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45" t="s">
        <v>834</v>
      </c>
      <c r="B12" s="46"/>
      <c r="C12" s="47"/>
      <c r="D12" s="30"/>
      <c r="E12" s="48"/>
      <c r="F12" s="120"/>
      <c r="G12" s="33">
        <f>H38*10%</f>
        <v>590.22900000000016</v>
      </c>
      <c r="H12" s="34"/>
    </row>
    <row r="13" spans="1:8">
      <c r="A13" s="134" t="s">
        <v>419</v>
      </c>
      <c r="B13" s="135"/>
      <c r="C13" s="133"/>
      <c r="D13" s="133" t="s">
        <v>5</v>
      </c>
      <c r="E13" s="132">
        <f>+'EQUIPOS '!D17</f>
        <v>105700</v>
      </c>
      <c r="F13" s="31">
        <v>0.03</v>
      </c>
      <c r="G13" s="132">
        <f>+E13*F13</f>
        <v>3171</v>
      </c>
      <c r="H13" s="34"/>
    </row>
    <row r="14" spans="1:8">
      <c r="A14" s="1220" t="s">
        <v>55</v>
      </c>
      <c r="B14" s="1221"/>
      <c r="C14" s="1222"/>
      <c r="D14" s="35" t="s">
        <v>5</v>
      </c>
      <c r="E14" s="36">
        <f>+'EQUIPOS '!D12</f>
        <v>154900</v>
      </c>
      <c r="F14" s="31">
        <v>2.7888960619754766E-2</v>
      </c>
      <c r="G14" s="507">
        <f>+E14*F14</f>
        <v>4320.0000000000136</v>
      </c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8081.2290000000139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1089</v>
      </c>
      <c r="B21" s="46"/>
      <c r="C21" s="47"/>
      <c r="D21" s="100" t="s">
        <v>9</v>
      </c>
      <c r="E21" s="98">
        <f>+MATERIALES!E46</f>
        <v>62798.362733333335</v>
      </c>
      <c r="F21" s="96">
        <v>1.3</v>
      </c>
      <c r="G21" s="96">
        <f>+E21*F21</f>
        <v>81637.871553333345</v>
      </c>
      <c r="H21" s="21"/>
    </row>
    <row r="22" spans="1:8">
      <c r="A22" s="86" t="s">
        <v>830</v>
      </c>
      <c r="B22" s="46"/>
      <c r="C22" s="47"/>
      <c r="D22" s="30" t="s">
        <v>836</v>
      </c>
      <c r="E22" s="101">
        <f>MATERIALES!E5</f>
        <v>68</v>
      </c>
      <c r="F22" s="48">
        <v>20</v>
      </c>
      <c r="G22" s="31">
        <f>E22*F22</f>
        <v>1360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82997.871553333345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 t="s">
        <v>1112</v>
      </c>
      <c r="B28" s="46"/>
      <c r="C28" s="386">
        <f>F21</f>
        <v>1.3</v>
      </c>
      <c r="D28" s="58">
        <v>8</v>
      </c>
      <c r="E28" s="58">
        <f>C28*D28</f>
        <v>10.4</v>
      </c>
      <c r="F28" s="59">
        <f>'EQUIPOS '!D18</f>
        <v>1250</v>
      </c>
      <c r="G28" s="31">
        <f>E28*F28</f>
        <v>13000</v>
      </c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13000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343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2.5000000000000001E-2</v>
      </c>
      <c r="G34" s="67">
        <f>+E34*F34</f>
        <v>2951.1470364665024</v>
      </c>
      <c r="H34" s="34"/>
    </row>
    <row r="35" spans="1:8">
      <c r="A35" s="45" t="s">
        <v>403</v>
      </c>
      <c r="B35" s="125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3.2190421642278373E-2</v>
      </c>
      <c r="G35" s="67">
        <f>+E35*F35</f>
        <v>2951.142963533498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5902.2900000000009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109981.39055333336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16497.208583000003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5499.0695276666684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5499.0695276666684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27495.34763833334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137477</v>
      </c>
    </row>
  </sheetData>
  <mergeCells count="11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topLeftCell="A31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423</v>
      </c>
      <c r="H7" s="23"/>
    </row>
    <row r="8" spans="1:8">
      <c r="A8" s="22" t="s">
        <v>1052</v>
      </c>
      <c r="B8" s="24"/>
      <c r="C8" s="23"/>
      <c r="D8" s="24"/>
      <c r="E8" s="24"/>
      <c r="F8" s="24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419</v>
      </c>
      <c r="B12" s="135"/>
      <c r="C12" s="133"/>
      <c r="D12" s="133" t="s">
        <v>5</v>
      </c>
      <c r="E12" s="132">
        <f>+'EQUIPOS '!D17</f>
        <v>105700</v>
      </c>
      <c r="F12" s="31">
        <v>7.4999999999999997E-2</v>
      </c>
      <c r="G12" s="132">
        <f>+E12*F12</f>
        <v>7927.5</v>
      </c>
      <c r="H12" s="34"/>
    </row>
    <row r="13" spans="1:8">
      <c r="A13" s="1191" t="s">
        <v>55</v>
      </c>
      <c r="B13" s="1192"/>
      <c r="C13" s="1193"/>
      <c r="D13" s="35" t="s">
        <v>5</v>
      </c>
      <c r="E13" s="36">
        <f>+'EQUIPOS '!D12</f>
        <v>154900</v>
      </c>
      <c r="F13" s="31">
        <v>7.4999999999999997E-2</v>
      </c>
      <c r="G13" s="507">
        <f>+E13*F13</f>
        <v>11617.5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19545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31"/>
      <c r="H27" s="34"/>
    </row>
    <row r="28" spans="1:8">
      <c r="A28" s="45"/>
      <c r="B28" s="46"/>
      <c r="C28" s="60"/>
      <c r="D28" s="30"/>
      <c r="E28" s="61"/>
      <c r="F28" s="31"/>
      <c r="G28" s="31"/>
      <c r="H28" s="34"/>
    </row>
    <row r="29" spans="1:8" ht="15" thickBot="1">
      <c r="A29" s="62"/>
      <c r="B29" s="63"/>
      <c r="C29" s="38"/>
      <c r="D29" s="39"/>
      <c r="E29" s="40"/>
      <c r="F29" s="4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/>
      <c r="B33" s="46"/>
      <c r="C33" s="65"/>
      <c r="D33" s="66"/>
      <c r="E33" s="31"/>
      <c r="F33" s="31"/>
      <c r="G33" s="67"/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0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19545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2931.75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977.25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977.25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4886.25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24431</v>
      </c>
    </row>
  </sheetData>
  <mergeCells count="11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0"/>
  <sheetViews>
    <sheetView topLeftCell="A4" workbookViewId="0">
      <selection activeCell="G14" sqref="G14"/>
    </sheetView>
  </sheetViews>
  <sheetFormatPr baseColWidth="10" defaultRowHeight="14.4"/>
  <cols>
    <col min="1" max="1" width="11.5546875" customWidth="1"/>
    <col min="2" max="2" width="10.44140625" customWidth="1"/>
    <col min="3" max="3" width="14.109375" customWidth="1"/>
  </cols>
  <sheetData>
    <row r="1" spans="1:8">
      <c r="A1" s="2"/>
      <c r="B1" s="2"/>
      <c r="C1" s="2"/>
      <c r="D1" s="2"/>
      <c r="E1" s="2"/>
      <c r="F1" s="2"/>
      <c r="G1" s="2"/>
      <c r="H1" s="2"/>
    </row>
    <row r="2" spans="1:8" ht="15" thickBot="1">
      <c r="A2" s="2"/>
      <c r="B2" s="2"/>
      <c r="C2" s="2"/>
      <c r="D2" s="2"/>
      <c r="E2" s="2"/>
      <c r="F2" s="2"/>
      <c r="G2" s="2"/>
      <c r="H2" s="2"/>
    </row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324</v>
      </c>
      <c r="H7" s="23"/>
    </row>
    <row r="8" spans="1:8">
      <c r="A8" s="22" t="s">
        <v>325</v>
      </c>
      <c r="B8" s="24"/>
      <c r="C8" s="23"/>
      <c r="D8" s="24"/>
      <c r="E8" s="24"/>
      <c r="F8" s="24"/>
      <c r="G8" s="24" t="s">
        <v>1292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26" t="s">
        <v>284</v>
      </c>
      <c r="E11" s="27" t="s">
        <v>285</v>
      </c>
      <c r="F11" s="26" t="s">
        <v>286</v>
      </c>
      <c r="G11" s="28" t="s">
        <v>287</v>
      </c>
      <c r="H11" s="29"/>
    </row>
    <row r="12" spans="1:8">
      <c r="A12" s="1188"/>
      <c r="B12" s="1189"/>
      <c r="C12" s="1190"/>
      <c r="D12" s="30"/>
      <c r="E12" s="31"/>
      <c r="F12" s="32"/>
      <c r="G12" s="33"/>
      <c r="H12" s="34"/>
    </row>
    <row r="13" spans="1:8">
      <c r="A13" s="1191"/>
      <c r="B13" s="1192"/>
      <c r="C13" s="1193"/>
      <c r="D13" s="35"/>
      <c r="E13" s="36"/>
      <c r="F13" s="37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0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85" t="s">
        <v>283</v>
      </c>
      <c r="B20" s="1186"/>
      <c r="C20" s="1187"/>
      <c r="D20" s="26" t="s">
        <v>291</v>
      </c>
      <c r="E20" s="26" t="s">
        <v>292</v>
      </c>
      <c r="F20" s="26" t="s">
        <v>293</v>
      </c>
      <c r="G20" s="28" t="s">
        <v>287</v>
      </c>
      <c r="H20" s="29"/>
    </row>
    <row r="21" spans="1:8">
      <c r="A21" s="45"/>
      <c r="B21" s="46"/>
      <c r="C21" s="47"/>
      <c r="D21" s="30"/>
      <c r="E21" s="48"/>
      <c r="F21" s="32"/>
      <c r="G21" s="33"/>
      <c r="H21" s="34"/>
    </row>
    <row r="22" spans="1:8">
      <c r="A22" s="45"/>
      <c r="B22" s="46"/>
      <c r="C22" s="47"/>
      <c r="D22" s="30"/>
      <c r="E22" s="48"/>
      <c r="F22" s="32"/>
      <c r="G22" s="33"/>
      <c r="H22" s="34"/>
    </row>
    <row r="23" spans="1:8">
      <c r="A23" s="45"/>
      <c r="B23" s="46"/>
      <c r="C23" s="47"/>
      <c r="D23" s="35"/>
      <c r="E23" s="36"/>
      <c r="F23" s="49"/>
      <c r="G23" s="50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26" t="s">
        <v>297</v>
      </c>
      <c r="E27" s="27" t="s">
        <v>285</v>
      </c>
      <c r="F27" s="26" t="s">
        <v>286</v>
      </c>
      <c r="G27" s="56" t="s">
        <v>287</v>
      </c>
      <c r="H27" s="29"/>
    </row>
    <row r="28" spans="1:8">
      <c r="A28" s="45" t="s">
        <v>1298</v>
      </c>
      <c r="B28" s="46"/>
      <c r="C28" s="899">
        <v>1</v>
      </c>
      <c r="D28" s="900">
        <v>1</v>
      </c>
      <c r="E28" s="59">
        <f>+'EQUIPOS '!D19</f>
        <v>57709</v>
      </c>
      <c r="F28" s="416">
        <v>2.4125000000000001E-2</v>
      </c>
      <c r="G28" s="31">
        <f>D28*E28*F28</f>
        <v>1392.2296249999999</v>
      </c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1392.2296249999999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64" t="s">
        <v>302</v>
      </c>
      <c r="D33" s="26" t="s">
        <v>303</v>
      </c>
      <c r="E33" s="27" t="s">
        <v>304</v>
      </c>
      <c r="F33" s="64" t="s">
        <v>286</v>
      </c>
      <c r="G33" s="28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53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1392.2296249999999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75" t="s">
        <v>308</v>
      </c>
      <c r="G42" s="7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SALARIOS!C43</f>
        <v>0.15</v>
      </c>
      <c r="G43" s="78">
        <f>++F43*H40</f>
        <v>208.83444374999999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SALARIOS!C44</f>
        <v>0.05</v>
      </c>
      <c r="G44" s="78">
        <f>+F44*H40</f>
        <v>69.611481249999997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69.611481249999997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348.05740624999999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1740</v>
      </c>
    </row>
    <row r="49" spans="1:8">
      <c r="A49" s="2"/>
      <c r="B49" s="2"/>
      <c r="C49" s="2"/>
      <c r="D49" s="2"/>
      <c r="E49" s="2"/>
      <c r="F49" s="2"/>
      <c r="G49" s="2"/>
      <c r="H49" s="2"/>
    </row>
    <row r="50" spans="1:8">
      <c r="A50" s="2"/>
      <c r="B50" s="2"/>
      <c r="C50" s="2"/>
      <c r="D50" s="2"/>
      <c r="E50" s="2"/>
      <c r="F50" s="2"/>
      <c r="G50" s="2"/>
      <c r="H50" s="2"/>
    </row>
  </sheetData>
  <mergeCells count="13">
    <mergeCell ref="A13:C13"/>
    <mergeCell ref="A3:C4"/>
    <mergeCell ref="A5:C5"/>
    <mergeCell ref="D5:H5"/>
    <mergeCell ref="A11:C11"/>
    <mergeCell ref="A12:C12"/>
    <mergeCell ref="A33:B33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J48"/>
  <sheetViews>
    <sheetView topLeftCell="A31"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424</v>
      </c>
      <c r="H7" s="23"/>
    </row>
    <row r="8" spans="1:8">
      <c r="A8" s="22" t="s">
        <v>1671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118.04600000000001</v>
      </c>
      <c r="H12" s="34"/>
    </row>
    <row r="13" spans="1:8" ht="23.25" customHeight="1">
      <c r="A13" s="1236" t="s">
        <v>1672</v>
      </c>
      <c r="B13" s="1237"/>
      <c r="C13" s="1238"/>
      <c r="D13" s="133"/>
      <c r="E13" s="132">
        <f>+'EQUIPOS '!D3</f>
        <v>82052</v>
      </c>
      <c r="F13" s="416">
        <v>4.5215229366743041E-3</v>
      </c>
      <c r="G13" s="488">
        <f>+E13*F13</f>
        <v>371</v>
      </c>
      <c r="H13" s="34"/>
    </row>
    <row r="14" spans="1:8">
      <c r="A14" s="1220" t="s">
        <v>1673</v>
      </c>
      <c r="B14" s="1221"/>
      <c r="C14" s="1222"/>
      <c r="D14" s="35"/>
      <c r="E14" s="36">
        <f>+'EQUIPOS '!D6</f>
        <v>84117</v>
      </c>
      <c r="F14" s="416">
        <v>3.5381314121996719E-3</v>
      </c>
      <c r="G14" s="488">
        <f>+E14*F14</f>
        <v>297.61699999999979</v>
      </c>
      <c r="H14" s="34"/>
    </row>
    <row r="15" spans="1:8">
      <c r="A15" s="1191"/>
      <c r="B15" s="1192"/>
      <c r="C15" s="1193"/>
      <c r="D15" s="35"/>
      <c r="E15" s="36"/>
      <c r="F15" s="31"/>
      <c r="G15" s="33">
        <f>+E14*F14</f>
        <v>297.61699999999979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1084.2799999999995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1425</v>
      </c>
      <c r="B21" s="46"/>
      <c r="C21" s="47"/>
      <c r="D21" s="100" t="s">
        <v>1674</v>
      </c>
      <c r="E21" s="482">
        <f>+MATERIALES!E44</f>
        <v>4189.0379999999996</v>
      </c>
      <c r="F21" s="113">
        <v>1</v>
      </c>
      <c r="G21" s="96">
        <f>+E21*F21</f>
        <v>4189.0379999999996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4189.0379999999996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10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5.0000000000000001E-3</v>
      </c>
      <c r="G34" s="67">
        <f>ROUND(E34*F34,2)</f>
        <v>1180.46</v>
      </c>
      <c r="H34" s="34"/>
    </row>
    <row r="35" spans="1:10">
      <c r="A35" s="45"/>
      <c r="B35" s="46"/>
      <c r="C35" s="65"/>
      <c r="D35" s="66"/>
      <c r="E35" s="31"/>
      <c r="F35" s="31"/>
      <c r="G35" s="67"/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1180.46</v>
      </c>
      <c r="J38" s="148"/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6453.7779999999993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968.06669999999986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322.68889999999999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322.68889999999999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1613.4445000000001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8067</v>
      </c>
    </row>
  </sheetData>
  <mergeCells count="13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13:C1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425</v>
      </c>
      <c r="H7" s="23"/>
    </row>
    <row r="8" spans="1:8">
      <c r="A8" s="22" t="s">
        <v>1675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+H38*10%</f>
        <v>5243.0888727125339</v>
      </c>
      <c r="H12" s="34"/>
    </row>
    <row r="13" spans="1:8">
      <c r="A13" s="1239" t="s">
        <v>1678</v>
      </c>
      <c r="B13" s="1240"/>
      <c r="C13" s="1241"/>
      <c r="D13" s="133" t="s">
        <v>5</v>
      </c>
      <c r="E13" s="132">
        <f>'EQUIPOS '!D15</f>
        <v>267434</v>
      </c>
      <c r="F13" s="31">
        <v>0.15</v>
      </c>
      <c r="G13" s="132">
        <f>F13*E13</f>
        <v>40115.1</v>
      </c>
      <c r="H13" s="34"/>
    </row>
    <row r="14" spans="1:8">
      <c r="A14" s="1220" t="s">
        <v>1681</v>
      </c>
      <c r="B14" s="1221"/>
      <c r="C14" s="1222"/>
      <c r="D14" s="35" t="s">
        <v>5</v>
      </c>
      <c r="E14" s="36">
        <f>'EQUIPOS '!D4</f>
        <v>148400</v>
      </c>
      <c r="F14" s="31">
        <v>0.15</v>
      </c>
      <c r="G14" s="132">
        <f t="shared" ref="G14:G15" si="0">F14*E14</f>
        <v>22260</v>
      </c>
      <c r="H14" s="34"/>
    </row>
    <row r="15" spans="1:8">
      <c r="A15" s="1191" t="s">
        <v>1680</v>
      </c>
      <c r="B15" s="1192"/>
      <c r="C15" s="1193"/>
      <c r="D15" s="35" t="s">
        <v>5</v>
      </c>
      <c r="E15" s="36">
        <f>'EQUIPOS '!D5</f>
        <v>157367</v>
      </c>
      <c r="F15" s="31">
        <v>0.15</v>
      </c>
      <c r="G15" s="132">
        <f t="shared" si="0"/>
        <v>23605.05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91223.238872712536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1677</v>
      </c>
      <c r="B21" s="46"/>
      <c r="C21" s="47"/>
      <c r="D21" s="100" t="s">
        <v>1679</v>
      </c>
      <c r="E21" s="98">
        <f>MATERIALES!E34</f>
        <v>827454.6</v>
      </c>
      <c r="F21" s="113">
        <v>1</v>
      </c>
      <c r="G21" s="50">
        <f>+E21*F21</f>
        <v>827454.6</v>
      </c>
      <c r="H21" s="34"/>
    </row>
    <row r="22" spans="1:8">
      <c r="A22" s="86"/>
      <c r="B22" s="46"/>
      <c r="C22" s="47"/>
      <c r="D22" s="30"/>
      <c r="E22" s="101"/>
      <c r="F22" s="32"/>
      <c r="G22" s="33"/>
      <c r="H22" s="34"/>
    </row>
    <row r="23" spans="1:8">
      <c r="A23" s="87"/>
      <c r="B23" s="88"/>
      <c r="C23" s="89"/>
      <c r="D23" s="90"/>
      <c r="E23" s="91"/>
      <c r="F23" s="92"/>
      <c r="G23" s="114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827454.6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13" t="s">
        <v>300</v>
      </c>
      <c r="B32" s="13"/>
      <c r="C32" s="23"/>
      <c r="D32" s="1107"/>
      <c r="E32" s="1108"/>
      <c r="F32" s="23"/>
      <c r="G32" s="23"/>
      <c r="H32" s="23"/>
    </row>
    <row r="33" spans="1:8">
      <c r="A33" s="1185" t="s">
        <v>301</v>
      </c>
      <c r="B33" s="1187"/>
      <c r="C33" s="1097" t="s">
        <v>302</v>
      </c>
      <c r="D33" s="1097" t="s">
        <v>303</v>
      </c>
      <c r="E33" s="85" t="s">
        <v>304</v>
      </c>
      <c r="F33" s="64" t="s">
        <v>286</v>
      </c>
      <c r="G33" s="56" t="s">
        <v>287</v>
      </c>
      <c r="H33" s="29"/>
    </row>
    <row r="34" spans="1:8">
      <c r="A34" s="45" t="s">
        <v>1682</v>
      </c>
      <c r="B34" s="46"/>
      <c r="C34" s="65">
        <f>SALARIOS!C49</f>
        <v>53170.636666666665</v>
      </c>
      <c r="D34" s="66">
        <f>SALARIOS!D49</f>
        <v>1.724216206485921</v>
      </c>
      <c r="E34" s="31">
        <f>D34*C34</f>
        <v>91677.673449841212</v>
      </c>
      <c r="F34" s="31">
        <v>0.25</v>
      </c>
      <c r="G34" s="67">
        <f>F34*E34</f>
        <v>22919.418362460303</v>
      </c>
      <c r="H34" s="34"/>
    </row>
    <row r="35" spans="1:8">
      <c r="A35" s="45" t="s">
        <v>138</v>
      </c>
      <c r="B35" s="46"/>
      <c r="C35" s="65">
        <f>SALARIOS!C48</f>
        <v>32688.566666666666</v>
      </c>
      <c r="D35" s="66">
        <f>SALARIOS!D48</f>
        <v>1.8056142176927319</v>
      </c>
      <c r="E35" s="31">
        <f t="shared" ref="E35:E36" si="1">D35*C35</f>
        <v>59022.940729330046</v>
      </c>
      <c r="F35" s="31">
        <v>0.25</v>
      </c>
      <c r="G35" s="67">
        <f t="shared" ref="G35:G36" si="2">F35*E35</f>
        <v>14755.735182332512</v>
      </c>
      <c r="H35" s="34"/>
    </row>
    <row r="36" spans="1:8">
      <c r="A36" s="45" t="s">
        <v>1683</v>
      </c>
      <c r="B36" s="46"/>
      <c r="C36" s="65">
        <f>SALARIOS!C48</f>
        <v>32688.566666666666</v>
      </c>
      <c r="D36" s="66">
        <f>SALARIOS!D48</f>
        <v>1.8056142176927319</v>
      </c>
      <c r="E36" s="31">
        <f t="shared" si="1"/>
        <v>59022.940729330046</v>
      </c>
      <c r="F36" s="31">
        <v>0.25</v>
      </c>
      <c r="G36" s="67">
        <f t="shared" si="2"/>
        <v>14755.735182332512</v>
      </c>
      <c r="H36" s="34"/>
    </row>
    <row r="37" spans="1:8" ht="15" thickBot="1">
      <c r="A37" s="62"/>
      <c r="B37" s="68"/>
      <c r="C37" s="39"/>
      <c r="D37" s="53"/>
      <c r="E37" s="102"/>
      <c r="F37" s="53"/>
      <c r="G37" s="387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52430.888727125333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971108.72759983793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145666.3091399757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48555.436379991901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48555.436379991901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242777.18189995951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1213886</v>
      </c>
    </row>
  </sheetData>
  <mergeCells count="13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13:C1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426</v>
      </c>
      <c r="H7" s="23"/>
    </row>
    <row r="8" spans="1:8">
      <c r="A8" s="22" t="s">
        <v>427</v>
      </c>
      <c r="B8" s="24"/>
      <c r="C8" s="23"/>
      <c r="D8" s="24"/>
      <c r="E8" s="24"/>
      <c r="F8" s="24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4721.835258346403</v>
      </c>
      <c r="H12" s="34"/>
    </row>
    <row r="13" spans="1:8">
      <c r="A13" s="134" t="s">
        <v>428</v>
      </c>
      <c r="B13" s="135"/>
      <c r="C13" s="133"/>
      <c r="D13" s="133" t="s">
        <v>9</v>
      </c>
      <c r="E13" s="132">
        <f>+'EQUIPOS '!D15</f>
        <v>267434</v>
      </c>
      <c r="F13" s="31">
        <v>0.2</v>
      </c>
      <c r="G13" s="132">
        <f>+E13*F13</f>
        <v>53486.8</v>
      </c>
      <c r="H13" s="34"/>
    </row>
    <row r="14" spans="1:8">
      <c r="A14" s="1220" t="s">
        <v>419</v>
      </c>
      <c r="B14" s="1221"/>
      <c r="C14" s="1222"/>
      <c r="D14" s="35" t="s">
        <v>5</v>
      </c>
      <c r="E14" s="36">
        <f>+'EQUIPOS '!D17</f>
        <v>105700</v>
      </c>
      <c r="F14" s="31">
        <v>0.2</v>
      </c>
      <c r="G14" s="33">
        <f>+E14*F14</f>
        <v>21140</v>
      </c>
      <c r="H14" s="34"/>
    </row>
    <row r="15" spans="1:8">
      <c r="A15" s="1191" t="s">
        <v>108</v>
      </c>
      <c r="B15" s="1192"/>
      <c r="C15" s="1193"/>
      <c r="D15" s="35" t="s">
        <v>5</v>
      </c>
      <c r="E15" s="36">
        <f>+'EQUIPOS '!D5</f>
        <v>157367</v>
      </c>
      <c r="F15" s="31">
        <v>0.2</v>
      </c>
      <c r="G15" s="33">
        <f>+E15*F15</f>
        <v>31473.4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110822.03525834641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t="s">
        <v>1682</v>
      </c>
      <c r="C34" s="1105">
        <f>SALARIOS!C49</f>
        <v>53170.636666666665</v>
      </c>
      <c r="D34" s="1106">
        <f>+SALARIOS!D49</f>
        <v>1.724216206485921</v>
      </c>
      <c r="E34" s="31">
        <f>+C34*D34</f>
        <v>91677.673449841212</v>
      </c>
      <c r="F34" s="31">
        <v>0.25</v>
      </c>
      <c r="G34" s="1109">
        <f>F34*E34</f>
        <v>22919.418362460303</v>
      </c>
      <c r="H34" s="21"/>
    </row>
    <row r="35" spans="1:8">
      <c r="A35" s="45" t="s">
        <v>342</v>
      </c>
      <c r="B35" s="46"/>
      <c r="C35" s="65">
        <f>+SALARIOS!C48*2</f>
        <v>65377.133333333331</v>
      </c>
      <c r="D35" s="66">
        <f>+SALARIOS!D48</f>
        <v>1.8056142176927319</v>
      </c>
      <c r="E35" s="31">
        <f>+C35*D35</f>
        <v>118045.88145866009</v>
      </c>
      <c r="F35" s="31">
        <v>0.25</v>
      </c>
      <c r="G35" s="1109">
        <f>F35*E35</f>
        <v>29511.470364665023</v>
      </c>
      <c r="H35" s="21"/>
    </row>
    <row r="36" spans="1:8">
      <c r="A36" s="45" t="s">
        <v>1683</v>
      </c>
      <c r="B36" s="46"/>
      <c r="C36" s="65">
        <f>SALARIOS!C48</f>
        <v>32688.566666666666</v>
      </c>
      <c r="D36" s="66">
        <f>SALARIOS!D48</f>
        <v>1.8056142176927319</v>
      </c>
      <c r="E36" s="31">
        <f>+C36*D36</f>
        <v>59022.940729330046</v>
      </c>
      <c r="F36" s="31">
        <v>0.3</v>
      </c>
      <c r="G36" s="1109">
        <f>F36*E36</f>
        <v>17706.882218799012</v>
      </c>
      <c r="H36" s="21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SUM(G35:G37)</f>
        <v>47218.352583464031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158040.38784181044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23706.058176271566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7902.0193920905222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7902.0193920905222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39510.096960452611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197550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22" workbookViewId="0">
      <selection activeCell="A36" sqref="A36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430</v>
      </c>
      <c r="H7" s="23"/>
    </row>
    <row r="8" spans="1:8">
      <c r="A8" s="22" t="s">
        <v>431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4479.1195369407096</v>
      </c>
      <c r="H12" s="34"/>
    </row>
    <row r="13" spans="1:8">
      <c r="A13" s="134" t="s">
        <v>130</v>
      </c>
      <c r="B13" s="135"/>
      <c r="C13" s="133"/>
      <c r="D13" s="133" t="s">
        <v>1</v>
      </c>
      <c r="E13" s="132">
        <f>+MATERIALES!E22</f>
        <v>1500</v>
      </c>
      <c r="F13" s="31">
        <v>4.8</v>
      </c>
      <c r="G13" s="132">
        <f>+E13*F13</f>
        <v>7200</v>
      </c>
      <c r="H13" s="34"/>
    </row>
    <row r="14" spans="1:8">
      <c r="A14" s="1220" t="s">
        <v>105</v>
      </c>
      <c r="B14" s="1221"/>
      <c r="C14" s="1222"/>
      <c r="D14" s="35" t="s">
        <v>7</v>
      </c>
      <c r="E14" s="36">
        <f>+'EQUIPOS '!D16</f>
        <v>41457</v>
      </c>
      <c r="F14" s="120">
        <v>0.1</v>
      </c>
      <c r="G14" s="33">
        <f>+E14*F14</f>
        <v>4145.7</v>
      </c>
      <c r="H14" s="34"/>
    </row>
    <row r="15" spans="1:8">
      <c r="A15" s="1226" t="s">
        <v>833</v>
      </c>
      <c r="B15" s="1227"/>
      <c r="C15" s="1228"/>
      <c r="D15" s="381" t="s">
        <v>5</v>
      </c>
      <c r="E15" s="630">
        <f>+'EQUIPOS '!D10</f>
        <v>40267</v>
      </c>
      <c r="F15" s="631">
        <v>0.2</v>
      </c>
      <c r="G15" s="370">
        <f>E15*F15</f>
        <v>8053.4000000000005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23878.219536940713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111</v>
      </c>
      <c r="B21" s="46"/>
      <c r="C21" s="47"/>
      <c r="D21" s="100" t="s">
        <v>9</v>
      </c>
      <c r="E21" s="98">
        <f>'5,5'!H26</f>
        <v>304127.50499390002</v>
      </c>
      <c r="F21" s="96">
        <v>0.13</v>
      </c>
      <c r="G21" s="96">
        <f>+E21*F21</f>
        <v>39536.575649207007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39536.575649207007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0.16666666460721324</v>
      </c>
      <c r="G34" s="67">
        <f>+E34*F34</f>
        <v>29511.47000000003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0.16666790063959167</v>
      </c>
      <c r="G35" s="67">
        <f>+E35*F35</f>
        <v>15279.725369407066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44791.195369407098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108205.99055555482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16230.898583333223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5410.2995277777409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5410.2995277777409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27051.497638888704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135257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19" workbookViewId="0">
      <selection activeCell="A15" sqref="A15:C15"/>
    </sheetView>
  </sheetViews>
  <sheetFormatPr baseColWidth="10" defaultRowHeight="14.4"/>
  <cols>
    <col min="5" max="5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433</v>
      </c>
      <c r="H7" s="23"/>
    </row>
    <row r="8" spans="1:8">
      <c r="A8" s="22" t="s">
        <v>434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4479.1195369407096</v>
      </c>
      <c r="H12" s="34"/>
    </row>
    <row r="13" spans="1:8">
      <c r="A13" s="134" t="s">
        <v>130</v>
      </c>
      <c r="B13" s="135"/>
      <c r="C13" s="133"/>
      <c r="D13" s="133" t="s">
        <v>1</v>
      </c>
      <c r="E13" s="132">
        <f>+MATERIALES!E22</f>
        <v>1500</v>
      </c>
      <c r="F13" s="31">
        <v>4.8</v>
      </c>
      <c r="G13" s="132">
        <f>+E13*F13</f>
        <v>7200</v>
      </c>
      <c r="H13" s="34"/>
    </row>
    <row r="14" spans="1:8">
      <c r="A14" s="1220" t="s">
        <v>105</v>
      </c>
      <c r="B14" s="1221"/>
      <c r="C14" s="1222"/>
      <c r="D14" s="35" t="s">
        <v>7</v>
      </c>
      <c r="E14" s="36">
        <f>+'EQUIPOS '!D16</f>
        <v>41457</v>
      </c>
      <c r="F14" s="31">
        <v>0.1</v>
      </c>
      <c r="G14" s="33">
        <f>+E14*F14</f>
        <v>4145.7</v>
      </c>
      <c r="H14" s="34"/>
    </row>
    <row r="15" spans="1:8">
      <c r="A15" s="1226" t="s">
        <v>833</v>
      </c>
      <c r="B15" s="1227"/>
      <c r="C15" s="1228"/>
      <c r="D15" s="381" t="s">
        <v>5</v>
      </c>
      <c r="E15" s="630">
        <f>+'EQUIPOS '!D10</f>
        <v>40267</v>
      </c>
      <c r="F15" s="606">
        <v>0.2</v>
      </c>
      <c r="G15" s="370">
        <f>E15*F15</f>
        <v>8053.4000000000005</v>
      </c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23878.219536940713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111</v>
      </c>
      <c r="B21" s="46"/>
      <c r="C21" s="47"/>
      <c r="D21" s="100" t="s">
        <v>9</v>
      </c>
      <c r="E21" s="98">
        <f>'5,5'!H26</f>
        <v>304127.50499390002</v>
      </c>
      <c r="F21" s="96">
        <v>0.15</v>
      </c>
      <c r="G21" s="96">
        <f>+E21*F21</f>
        <v>45619.125749085004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45619.125749085004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0.16666666460721324</v>
      </c>
      <c r="G34" s="67">
        <f>+E34*F34</f>
        <v>29511.47000000003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0.16666790063959167</v>
      </c>
      <c r="G35" s="67">
        <f>+E35*F35</f>
        <v>15279.725369407066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44791.195369407098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114288.54065543282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17143.281098314921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5714.4270327716413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5714.4270327716413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28572.135163858202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142861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J48"/>
  <sheetViews>
    <sheetView workbookViewId="0"/>
  </sheetViews>
  <sheetFormatPr baseColWidth="10" defaultRowHeight="14.4"/>
  <cols>
    <col min="10" max="10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435</v>
      </c>
      <c r="H7" s="23"/>
    </row>
    <row r="8" spans="1:8" ht="26.25" customHeight="1">
      <c r="A8" s="1235" t="s">
        <v>436</v>
      </c>
      <c r="B8" s="1235"/>
      <c r="C8" s="1235"/>
      <c r="D8" s="1235"/>
      <c r="E8" s="1235"/>
      <c r="F8" s="1235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20"/>
      <c r="G12" s="33">
        <f>H38*10%</f>
        <v>4163.0384746115651</v>
      </c>
      <c r="H12" s="34"/>
    </row>
    <row r="13" spans="1:8">
      <c r="A13" s="134" t="s">
        <v>55</v>
      </c>
      <c r="B13" s="135"/>
      <c r="C13" s="133"/>
      <c r="D13" s="133" t="s">
        <v>5</v>
      </c>
      <c r="E13" s="132">
        <f>+'EQUIPOS '!D12</f>
        <v>154900</v>
      </c>
      <c r="F13" s="31">
        <v>0.1</v>
      </c>
      <c r="G13" s="132">
        <f>+E13*F13</f>
        <v>15490</v>
      </c>
      <c r="H13" s="34"/>
    </row>
    <row r="14" spans="1:8">
      <c r="A14" s="1220" t="s">
        <v>107</v>
      </c>
      <c r="B14" s="1221"/>
      <c r="C14" s="1222"/>
      <c r="D14" s="35" t="s">
        <v>5</v>
      </c>
      <c r="E14" s="36">
        <f>+'EQUIPOS '!D17</f>
        <v>105700</v>
      </c>
      <c r="F14" s="31">
        <v>0.1</v>
      </c>
      <c r="G14" s="132">
        <f t="shared" ref="G14:G16" si="0">+E14*F14</f>
        <v>10570</v>
      </c>
      <c r="H14" s="34"/>
    </row>
    <row r="15" spans="1:8">
      <c r="A15" s="1191" t="s">
        <v>106</v>
      </c>
      <c r="B15" s="1192"/>
      <c r="C15" s="1193"/>
      <c r="D15" s="35" t="s">
        <v>9</v>
      </c>
      <c r="E15" s="36">
        <f>+'EQUIPOS '!D15</f>
        <v>267434</v>
      </c>
      <c r="F15" s="31">
        <v>7.0000000000000007E-2</v>
      </c>
      <c r="G15" s="132">
        <f t="shared" si="0"/>
        <v>18720.38</v>
      </c>
      <c r="H15" s="34"/>
    </row>
    <row r="16" spans="1:8">
      <c r="A16" s="1191" t="s">
        <v>108</v>
      </c>
      <c r="B16" s="1192"/>
      <c r="C16" s="1193"/>
      <c r="D16" s="35" t="s">
        <v>5</v>
      </c>
      <c r="E16" s="36">
        <f>+'EQUIPOS '!D5</f>
        <v>157367</v>
      </c>
      <c r="F16" s="31">
        <v>7.0000000000000007E-2</v>
      </c>
      <c r="G16" s="132">
        <f t="shared" si="0"/>
        <v>11015.69</v>
      </c>
      <c r="H16" s="34"/>
    </row>
    <row r="17" spans="1:10" ht="15" thickBot="1">
      <c r="A17" s="1194"/>
      <c r="B17" s="1195"/>
      <c r="C17" s="1196"/>
      <c r="D17" s="38"/>
      <c r="E17" s="39"/>
      <c r="F17" s="40"/>
      <c r="G17" s="41"/>
      <c r="H17" s="42"/>
    </row>
    <row r="18" spans="1:10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59959.108474611567</v>
      </c>
    </row>
    <row r="19" spans="1:10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10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10">
      <c r="A21" s="86" t="s">
        <v>1092</v>
      </c>
      <c r="B21" s="46"/>
      <c r="C21" s="47"/>
      <c r="D21" s="100" t="s">
        <v>9</v>
      </c>
      <c r="E21" s="98">
        <f>+MATERIALES!E46</f>
        <v>62798.362733333335</v>
      </c>
      <c r="F21" s="113">
        <v>0.3</v>
      </c>
      <c r="G21" s="96">
        <f>+E21*F21</f>
        <v>18839.508819999999</v>
      </c>
      <c r="H21" s="21"/>
    </row>
    <row r="22" spans="1:10">
      <c r="A22" s="86" t="s">
        <v>1684</v>
      </c>
      <c r="B22" s="46"/>
      <c r="C22" s="47"/>
      <c r="D22" s="30" t="s">
        <v>9</v>
      </c>
      <c r="E22" s="101">
        <f>MATERIALES!F34</f>
        <v>827454.6</v>
      </c>
      <c r="F22" s="59">
        <v>5.0799999999999998E-2</v>
      </c>
      <c r="G22" s="31">
        <f>+E22*F22</f>
        <v>42034.693679999997</v>
      </c>
      <c r="H22" s="21"/>
    </row>
    <row r="23" spans="1:10">
      <c r="A23" s="87" t="s">
        <v>126</v>
      </c>
      <c r="B23" s="88"/>
      <c r="C23" s="89"/>
      <c r="D23" s="90" t="s">
        <v>9</v>
      </c>
      <c r="E23" s="91">
        <f>MATERIALES!E11</f>
        <v>65603.117366666658</v>
      </c>
      <c r="F23" s="1110">
        <v>0.25</v>
      </c>
      <c r="G23" s="97">
        <f>+E23*F23</f>
        <v>16400.779341666665</v>
      </c>
      <c r="H23" s="21"/>
    </row>
    <row r="24" spans="1:10" ht="15" thickBot="1">
      <c r="A24" s="51"/>
      <c r="B24" s="52"/>
      <c r="C24" s="53"/>
      <c r="D24" s="38"/>
      <c r="E24" s="39"/>
      <c r="F24" s="170"/>
      <c r="G24" s="41"/>
      <c r="H24" s="42"/>
    </row>
    <row r="25" spans="1:10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77274.981841666668</v>
      </c>
    </row>
    <row r="26" spans="1:10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10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10">
      <c r="A28" s="45"/>
      <c r="B28" s="46"/>
      <c r="C28" s="57"/>
      <c r="D28" s="58"/>
      <c r="E28" s="58"/>
      <c r="F28" s="59"/>
      <c r="G28" s="59"/>
      <c r="H28" s="34"/>
    </row>
    <row r="29" spans="1:10">
      <c r="A29" s="45"/>
      <c r="B29" s="46"/>
      <c r="C29" s="60"/>
      <c r="D29" s="30"/>
      <c r="E29" s="58"/>
      <c r="F29" s="59"/>
      <c r="G29" s="59"/>
      <c r="H29" s="34"/>
    </row>
    <row r="30" spans="1:10" ht="15" thickBot="1">
      <c r="A30" s="62"/>
      <c r="B30" s="63"/>
      <c r="C30" s="38"/>
      <c r="D30" s="38"/>
      <c r="E30" s="38"/>
      <c r="F30" s="171"/>
      <c r="G30" s="38"/>
      <c r="H30" s="34"/>
      <c r="J30" s="807"/>
    </row>
    <row r="31" spans="1:10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10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</v>
      </c>
      <c r="G34" s="67">
        <f>+E34*F34</f>
        <v>23609.176291732019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</v>
      </c>
      <c r="G35" s="67">
        <f t="shared" ref="G35:G36" si="1">+E35*F35</f>
        <v>9167.7673449841222</v>
      </c>
      <c r="H35" s="34"/>
    </row>
    <row r="36" spans="1:8">
      <c r="A36" s="45" t="s">
        <v>1683</v>
      </c>
      <c r="B36" s="46"/>
      <c r="C36" s="65">
        <f>SALARIOS!C48</f>
        <v>32688.566666666666</v>
      </c>
      <c r="D36" s="66">
        <f>+SALARIOS!D48</f>
        <v>1.8056142176927319</v>
      </c>
      <c r="E36" s="31">
        <f>D36*C36</f>
        <v>59022.940729330046</v>
      </c>
      <c r="F36" s="31">
        <v>0.15</v>
      </c>
      <c r="G36" s="67">
        <f t="shared" si="1"/>
        <v>8853.4411093995059</v>
      </c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41630.384746115647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178864.47506239387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26829.671259359082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8943.2237531196934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8943.2237531196934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44716.118765598469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223581</v>
      </c>
    </row>
  </sheetData>
  <mergeCells count="13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8:F8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/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438</v>
      </c>
      <c r="H7" s="23"/>
    </row>
    <row r="8" spans="1:8" ht="27" customHeight="1">
      <c r="A8" s="1235" t="s">
        <v>439</v>
      </c>
      <c r="B8" s="1235"/>
      <c r="C8" s="1235"/>
      <c r="D8" s="1235"/>
      <c r="E8" s="1235"/>
      <c r="F8" s="1235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834</v>
      </c>
      <c r="B12" s="1218"/>
      <c r="C12" s="1219"/>
      <c r="D12" s="30"/>
      <c r="E12" s="48"/>
      <c r="F12" s="115"/>
      <c r="G12" s="33">
        <f>+H38*10%</f>
        <v>4163.0384746115651</v>
      </c>
      <c r="H12" s="34"/>
    </row>
    <row r="13" spans="1:8">
      <c r="A13" s="134" t="s">
        <v>55</v>
      </c>
      <c r="B13" s="135"/>
      <c r="C13" s="133"/>
      <c r="D13" s="133" t="s">
        <v>5</v>
      </c>
      <c r="E13" s="132">
        <f>+'EQUIPOS '!D12</f>
        <v>154900</v>
      </c>
      <c r="F13" s="59">
        <v>0.15</v>
      </c>
      <c r="G13" s="33">
        <f t="shared" ref="G13:G16" si="0">+E13*F13</f>
        <v>23235</v>
      </c>
      <c r="H13" s="34"/>
    </row>
    <row r="14" spans="1:8">
      <c r="A14" s="1220" t="s">
        <v>107</v>
      </c>
      <c r="B14" s="1221"/>
      <c r="C14" s="1222"/>
      <c r="D14" s="35" t="s">
        <v>5</v>
      </c>
      <c r="E14" s="36">
        <f>+'EQUIPOS '!D17</f>
        <v>105700</v>
      </c>
      <c r="F14" s="59">
        <v>0.15</v>
      </c>
      <c r="G14" s="33">
        <f t="shared" si="0"/>
        <v>15855</v>
      </c>
      <c r="H14" s="34"/>
    </row>
    <row r="15" spans="1:8">
      <c r="A15" s="1191" t="s">
        <v>106</v>
      </c>
      <c r="B15" s="1192"/>
      <c r="C15" s="1193"/>
      <c r="D15" s="35" t="s">
        <v>9</v>
      </c>
      <c r="E15" s="36">
        <f>+'EQUIPOS '!D15</f>
        <v>267434</v>
      </c>
      <c r="F15" s="59">
        <v>0.1</v>
      </c>
      <c r="G15" s="33">
        <f t="shared" si="0"/>
        <v>26743.4</v>
      </c>
      <c r="H15" s="34"/>
    </row>
    <row r="16" spans="1:8">
      <c r="A16" s="1191" t="s">
        <v>108</v>
      </c>
      <c r="B16" s="1192"/>
      <c r="C16" s="1193"/>
      <c r="D16" s="35" t="s">
        <v>5</v>
      </c>
      <c r="E16" s="36">
        <f>+'EQUIPOS '!D5</f>
        <v>157367</v>
      </c>
      <c r="F16" s="59">
        <v>0.1</v>
      </c>
      <c r="G16" s="33">
        <f t="shared" si="0"/>
        <v>15736.7</v>
      </c>
      <c r="H16" s="34"/>
    </row>
    <row r="17" spans="1:8" ht="15" thickBot="1">
      <c r="A17" s="1194"/>
      <c r="B17" s="1195"/>
      <c r="C17" s="1196"/>
      <c r="D17" s="38"/>
      <c r="E17" s="39"/>
      <c r="F17" s="17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85733.138474611565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1092</v>
      </c>
      <c r="B21" s="46"/>
      <c r="C21" s="47"/>
      <c r="D21" s="100" t="s">
        <v>9</v>
      </c>
      <c r="E21" s="98">
        <f>+MATERIALES!E46</f>
        <v>62798.362733333335</v>
      </c>
      <c r="F21" s="113">
        <v>0.3</v>
      </c>
      <c r="G21" s="96">
        <f>+E21*F21</f>
        <v>18839.508819999999</v>
      </c>
      <c r="H21" s="21"/>
    </row>
    <row r="22" spans="1:8">
      <c r="A22" s="86" t="s">
        <v>1685</v>
      </c>
      <c r="B22" s="46"/>
      <c r="C22" s="47"/>
      <c r="D22" s="30" t="s">
        <v>9</v>
      </c>
      <c r="E22" s="101">
        <f>MATERIALES!E34</f>
        <v>827454.6</v>
      </c>
      <c r="F22" s="59">
        <v>7.6200000000000004E-2</v>
      </c>
      <c r="G22" s="31">
        <f>+E22*F22</f>
        <v>63052.040520000002</v>
      </c>
      <c r="H22" s="21"/>
    </row>
    <row r="23" spans="1:8">
      <c r="A23" s="87" t="s">
        <v>126</v>
      </c>
      <c r="B23" s="88"/>
      <c r="C23" s="89"/>
      <c r="D23" s="90" t="s">
        <v>9</v>
      </c>
      <c r="E23" s="91">
        <f>+MATERIALES!E17</f>
        <v>45633.333333333336</v>
      </c>
      <c r="F23" s="1110">
        <v>0.25</v>
      </c>
      <c r="G23" s="97">
        <f>+E23*F23</f>
        <v>11408.333333333334</v>
      </c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93299.882673333326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</v>
      </c>
      <c r="G34" s="67">
        <f>+E34*F34</f>
        <v>23609.176291732019</v>
      </c>
      <c r="H34" s="34"/>
    </row>
    <row r="35" spans="1:8">
      <c r="A35" s="45" t="s">
        <v>1683</v>
      </c>
      <c r="B35" s="46"/>
      <c r="C35" s="65">
        <f>+SALARIOS!C48</f>
        <v>32688.566666666666</v>
      </c>
      <c r="D35" s="66">
        <f>+SALARIOS!D48</f>
        <v>1.8056142176927319</v>
      </c>
      <c r="E35" s="31">
        <f t="shared" ref="E35:E36" si="1">+C35*D35</f>
        <v>59022.940729330046</v>
      </c>
      <c r="F35" s="31">
        <v>0.15</v>
      </c>
      <c r="G35" s="67">
        <f t="shared" ref="G35:G36" si="2">+E35*F35</f>
        <v>8853.4411093995059</v>
      </c>
      <c r="H35" s="34"/>
    </row>
    <row r="36" spans="1:8">
      <c r="A36" s="45" t="s">
        <v>1682</v>
      </c>
      <c r="B36" s="46"/>
      <c r="C36" s="65">
        <f>+SALARIOS!C49</f>
        <v>53170.636666666665</v>
      </c>
      <c r="D36" s="66">
        <f>+SALARIOS!D49</f>
        <v>1.724216206485921</v>
      </c>
      <c r="E36" s="31">
        <f t="shared" si="1"/>
        <v>91677.673449841212</v>
      </c>
      <c r="F36" s="31">
        <v>0.1</v>
      </c>
      <c r="G36" s="67">
        <f t="shared" si="2"/>
        <v>9167.7673449841222</v>
      </c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41630.384746115647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220663.40589406056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33099.510884109084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11033.170294703028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11033.170294703028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55165.85147351514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275829</v>
      </c>
    </row>
  </sheetData>
  <mergeCells count="13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  <mergeCell ref="A8:F8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topLeftCell="A25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1745</v>
      </c>
      <c r="H7" s="23"/>
    </row>
    <row r="8" spans="1:8" ht="23.25" customHeight="1">
      <c r="A8" s="1235" t="s">
        <v>441</v>
      </c>
      <c r="B8" s="1235"/>
      <c r="C8" s="1235"/>
      <c r="D8" s="1235"/>
      <c r="E8" s="1235"/>
      <c r="F8" s="1235"/>
      <c r="G8" s="24" t="s">
        <v>1294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+H37*10%</f>
        <v>5919.9315379060317</v>
      </c>
      <c r="H12" s="34"/>
    </row>
    <row r="13" spans="1:8">
      <c r="A13" s="1191" t="s">
        <v>107</v>
      </c>
      <c r="B13" s="1192"/>
      <c r="C13" s="1193"/>
      <c r="D13" s="35" t="s">
        <v>5</v>
      </c>
      <c r="E13" s="36">
        <f>+'EQUIPOS '!D17</f>
        <v>105700</v>
      </c>
      <c r="F13" s="31">
        <v>0.13</v>
      </c>
      <c r="G13" s="507">
        <f>+E13*F13</f>
        <v>13741</v>
      </c>
      <c r="H13" s="34"/>
    </row>
    <row r="14" spans="1:8">
      <c r="A14" s="1191" t="s">
        <v>106</v>
      </c>
      <c r="B14" s="1192"/>
      <c r="C14" s="1193"/>
      <c r="D14" s="35" t="s">
        <v>9</v>
      </c>
      <c r="E14" s="36">
        <f>+'EQUIPOS '!D15</f>
        <v>267434</v>
      </c>
      <c r="F14" s="31">
        <v>0.13</v>
      </c>
      <c r="G14" s="507">
        <f t="shared" ref="G14:G15" si="0">+E14*F14</f>
        <v>34766.42</v>
      </c>
      <c r="H14" s="34"/>
    </row>
    <row r="15" spans="1:8">
      <c r="A15" s="1191" t="s">
        <v>108</v>
      </c>
      <c r="B15" s="1192"/>
      <c r="C15" s="1193"/>
      <c r="D15" s="35" t="s">
        <v>5</v>
      </c>
      <c r="E15" s="36">
        <f>+'EQUIPOS '!D5</f>
        <v>157367</v>
      </c>
      <c r="F15" s="31">
        <v>0.13</v>
      </c>
      <c r="G15" s="507">
        <f t="shared" si="0"/>
        <v>20457.71</v>
      </c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74885.061537906033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 t="s">
        <v>1426</v>
      </c>
      <c r="B20" s="46"/>
      <c r="C20" s="47"/>
      <c r="D20" s="100" t="s">
        <v>1674</v>
      </c>
      <c r="E20" s="98">
        <f>+MATERIALES!E44</f>
        <v>4189.0379999999996</v>
      </c>
      <c r="F20" s="434">
        <v>0.1</v>
      </c>
      <c r="G20" s="96">
        <f>E20*F20</f>
        <v>418.90379999999999</v>
      </c>
      <c r="H20" s="21"/>
    </row>
    <row r="21" spans="1:8">
      <c r="A21" s="86" t="s">
        <v>1686</v>
      </c>
      <c r="B21" s="46"/>
      <c r="C21" s="47"/>
      <c r="D21" s="30" t="s">
        <v>9</v>
      </c>
      <c r="E21" s="101">
        <f>+MATERIALES!E34</f>
        <v>827454.6</v>
      </c>
      <c r="F21" s="115">
        <v>1</v>
      </c>
      <c r="G21" s="31">
        <f>+E21*F21</f>
        <v>827454.6</v>
      </c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827873.50379999995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121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 t="s">
        <v>429</v>
      </c>
      <c r="B33" s="46"/>
      <c r="C33" s="65">
        <f>+SALARIOS!C48*4</f>
        <v>130754.26666666666</v>
      </c>
      <c r="D33" s="66">
        <f>+SALARIOS!D48</f>
        <v>1.8056142176927319</v>
      </c>
      <c r="E33" s="31">
        <f>+C33*D33</f>
        <v>236091.76291732019</v>
      </c>
      <c r="F33" s="31">
        <v>0.15</v>
      </c>
      <c r="G33" s="67">
        <f>+E33*F33</f>
        <v>35413.764437598024</v>
      </c>
      <c r="H33" s="34"/>
    </row>
    <row r="34" spans="1:8">
      <c r="A34" s="45" t="s">
        <v>1683</v>
      </c>
      <c r="B34" s="46"/>
      <c r="C34" s="65">
        <f>+SALARIOS!C48</f>
        <v>32688.566666666666</v>
      </c>
      <c r="D34" s="66">
        <f>+SALARIOS!D48</f>
        <v>1.8056142176927319</v>
      </c>
      <c r="E34" s="31">
        <f t="shared" ref="E34:E35" si="1">+C34*D34</f>
        <v>59022.940729330046</v>
      </c>
      <c r="F34" s="31">
        <v>0.17</v>
      </c>
      <c r="G34" s="67">
        <f t="shared" ref="G34:G35" si="2">+E34*F34</f>
        <v>10033.899923986108</v>
      </c>
      <c r="H34" s="34"/>
    </row>
    <row r="35" spans="1:8">
      <c r="A35" s="45" t="s">
        <v>1682</v>
      </c>
      <c r="B35" s="46"/>
      <c r="C35" s="65">
        <f>+SALARIOS!C49</f>
        <v>53170.636666666665</v>
      </c>
      <c r="D35" s="66">
        <f>+SALARIOS!D49</f>
        <v>1.724216206485921</v>
      </c>
      <c r="E35" s="31">
        <f t="shared" si="1"/>
        <v>91677.673449841212</v>
      </c>
      <c r="F35" s="31">
        <v>0.15</v>
      </c>
      <c r="G35" s="67">
        <f t="shared" si="2"/>
        <v>13751.651017476181</v>
      </c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59199.31537906031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961957.88071696635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144293.68210754494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48097.894035848323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48097.894035848323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240489.47017924159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1202447</v>
      </c>
    </row>
  </sheetData>
  <mergeCells count="12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  <mergeCell ref="A8:F8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440</v>
      </c>
      <c r="H7" s="23"/>
    </row>
    <row r="8" spans="1:8">
      <c r="A8" s="22" t="s">
        <v>443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2304.8898456652</v>
      </c>
      <c r="H12" s="34"/>
    </row>
    <row r="13" spans="1:8">
      <c r="A13" s="1191" t="s">
        <v>43</v>
      </c>
      <c r="B13" s="1192"/>
      <c r="C13" s="1193"/>
      <c r="D13" s="35" t="s">
        <v>5</v>
      </c>
      <c r="E13" s="36">
        <f>+'EQUIPOS '!D6</f>
        <v>84117</v>
      </c>
      <c r="F13" s="31">
        <v>4.9999999999999822E-2</v>
      </c>
      <c r="G13" s="33">
        <f>+E13*F13</f>
        <v>4205.8499999999849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6510.7398456651845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0.19525372822705189</v>
      </c>
      <c r="G33" s="67">
        <f>+E33*F33</f>
        <v>23048.898456652001</v>
      </c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23048.898456652001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29559.638302317187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4433.9457453475779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1477.9819151158595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1477.9819151158595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7389.9095755792969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36950</v>
      </c>
    </row>
  </sheetData>
  <mergeCells count="11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442</v>
      </c>
      <c r="H7" s="23"/>
    </row>
    <row r="8" spans="1:8">
      <c r="A8" s="22" t="s">
        <v>445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1311.6687838728769</v>
      </c>
      <c r="H12" s="34"/>
    </row>
    <row r="13" spans="1:8">
      <c r="A13" s="1191" t="s">
        <v>43</v>
      </c>
      <c r="B13" s="1192"/>
      <c r="C13" s="1193"/>
      <c r="D13" s="35" t="s">
        <v>5</v>
      </c>
      <c r="E13" s="36">
        <f>+'EQUIPOS '!D6</f>
        <v>84117</v>
      </c>
      <c r="F13" s="31">
        <v>4.5454545454544082E-2</v>
      </c>
      <c r="G13" s="33">
        <f>+E13*F13</f>
        <v>3823.4999999998845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5135.1687838727612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0.11111516705749924</v>
      </c>
      <c r="G33" s="67">
        <f>+E33*F33</f>
        <v>13116.687838728769</v>
      </c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13116.687838728769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18251.856622601532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2737.7784933902299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912.59283113007666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912.59283113007666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4562.964155650383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22815</v>
      </c>
    </row>
  </sheetData>
  <mergeCells count="11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0"/>
  <sheetViews>
    <sheetView topLeftCell="A40" workbookViewId="0">
      <selection activeCell="F14" sqref="F14"/>
    </sheetView>
  </sheetViews>
  <sheetFormatPr baseColWidth="10" defaultRowHeight="14.4"/>
  <cols>
    <col min="1" max="1" width="11.5546875" customWidth="1"/>
    <col min="2" max="2" width="10.44140625" customWidth="1"/>
    <col min="3" max="3" width="15.88671875" bestFit="1" customWidth="1"/>
  </cols>
  <sheetData>
    <row r="1" spans="1:8">
      <c r="A1" s="2"/>
      <c r="B1" s="2"/>
      <c r="C1" s="2"/>
      <c r="D1" s="2"/>
      <c r="E1" s="2"/>
      <c r="F1" s="2"/>
      <c r="G1" s="2"/>
      <c r="H1" s="2"/>
    </row>
    <row r="2" spans="1:8" ht="15" thickBot="1">
      <c r="A2" s="2"/>
      <c r="B2" s="2"/>
      <c r="C2" s="2"/>
      <c r="D2" s="2"/>
      <c r="E2" s="2"/>
      <c r="F2" s="2"/>
      <c r="G2" s="2"/>
      <c r="H2" s="2"/>
    </row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327</v>
      </c>
      <c r="H7" s="23"/>
    </row>
    <row r="8" spans="1:8">
      <c r="A8" s="22" t="s">
        <v>328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26" t="s">
        <v>284</v>
      </c>
      <c r="E11" s="27" t="s">
        <v>285</v>
      </c>
      <c r="F11" s="26" t="s">
        <v>286</v>
      </c>
      <c r="G11" s="28" t="s">
        <v>287</v>
      </c>
      <c r="H11" s="29"/>
    </row>
    <row r="12" spans="1:8">
      <c r="A12" s="1188" t="s">
        <v>834</v>
      </c>
      <c r="B12" s="1189"/>
      <c r="C12" s="1190"/>
      <c r="D12" s="30"/>
      <c r="E12" s="31"/>
      <c r="F12" s="32"/>
      <c r="G12" s="33">
        <f>H38*10%</f>
        <v>635.84185468846442</v>
      </c>
      <c r="H12" s="34"/>
    </row>
    <row r="13" spans="1:8">
      <c r="A13" s="1191"/>
      <c r="B13" s="1192"/>
      <c r="C13" s="1193"/>
      <c r="D13" s="35"/>
      <c r="E13" s="36"/>
      <c r="F13" s="37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635.84185468846442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85" t="s">
        <v>283</v>
      </c>
      <c r="B20" s="1186"/>
      <c r="C20" s="1187"/>
      <c r="D20" s="26" t="s">
        <v>291</v>
      </c>
      <c r="E20" s="26" t="s">
        <v>292</v>
      </c>
      <c r="F20" s="26" t="s">
        <v>293</v>
      </c>
      <c r="G20" s="28" t="s">
        <v>287</v>
      </c>
      <c r="H20" s="29"/>
    </row>
    <row r="21" spans="1:8">
      <c r="A21" s="45"/>
      <c r="B21" s="46"/>
      <c r="C21" s="47"/>
      <c r="D21" s="30"/>
      <c r="E21" s="48"/>
      <c r="F21" s="32"/>
      <c r="G21" s="33"/>
      <c r="H21" s="34"/>
    </row>
    <row r="22" spans="1:8">
      <c r="A22" s="45"/>
      <c r="B22" s="46"/>
      <c r="C22" s="47"/>
      <c r="D22" s="30"/>
      <c r="E22" s="48"/>
      <c r="F22" s="32"/>
      <c r="G22" s="33"/>
      <c r="H22" s="34"/>
    </row>
    <row r="23" spans="1:8">
      <c r="A23" s="45"/>
      <c r="B23" s="46"/>
      <c r="C23" s="47"/>
      <c r="D23" s="35"/>
      <c r="E23" s="36"/>
      <c r="F23" s="49"/>
      <c r="G23" s="50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26" t="s">
        <v>297</v>
      </c>
      <c r="E27" s="26" t="s">
        <v>298</v>
      </c>
      <c r="F27" s="26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08" t="s">
        <v>302</v>
      </c>
      <c r="D33" s="108" t="s">
        <v>303</v>
      </c>
      <c r="E33" s="85" t="s">
        <v>304</v>
      </c>
      <c r="F33" s="64" t="s">
        <v>286</v>
      </c>
      <c r="G33" s="107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2.6931979618074919E-2</v>
      </c>
      <c r="G34" s="67">
        <f>E34*F34</f>
        <v>6358.4185468846435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53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6358.4185468846435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6994.2604015731076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75" t="s">
        <v>308</v>
      </c>
      <c r="G42" s="7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SALARIOS!C43</f>
        <v>0.15</v>
      </c>
      <c r="G43" s="78">
        <f>++F43*H40</f>
        <v>1049.1390602359661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SALARIOS!C44</f>
        <v>0.05</v>
      </c>
      <c r="G44" s="78">
        <f>+F44*H40</f>
        <v>349.7130200786554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349.7130200786554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1748.5651003932771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8743</v>
      </c>
    </row>
    <row r="49" spans="1:8">
      <c r="A49" s="2"/>
      <c r="B49" s="2"/>
      <c r="C49" s="2"/>
      <c r="D49" s="2"/>
      <c r="E49" s="2"/>
      <c r="F49" s="2"/>
      <c r="G49" s="2"/>
      <c r="H49" s="2"/>
    </row>
    <row r="50" spans="1:8">
      <c r="A50" s="2"/>
      <c r="B50" s="2"/>
      <c r="C50" s="2"/>
      <c r="D50" s="2"/>
      <c r="E50" s="2"/>
      <c r="F50" s="2"/>
      <c r="G50" s="2"/>
      <c r="H50" s="2"/>
    </row>
  </sheetData>
  <mergeCells count="13">
    <mergeCell ref="A13:C13"/>
    <mergeCell ref="A3:C4"/>
    <mergeCell ref="A5:C5"/>
    <mergeCell ref="D5:H5"/>
    <mergeCell ref="A11:C11"/>
    <mergeCell ref="A12:C12"/>
    <mergeCell ref="A33:B33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  <pageSetup paperSize="9" scale="9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7"/>
  <sheetViews>
    <sheetView topLeftCell="A25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444</v>
      </c>
      <c r="H7" s="23"/>
    </row>
    <row r="8" spans="1:8">
      <c r="A8" s="22" t="s">
        <v>447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1174.7964777186562</v>
      </c>
      <c r="H12" s="34"/>
    </row>
    <row r="13" spans="1:8">
      <c r="A13" s="1191" t="s">
        <v>43</v>
      </c>
      <c r="B13" s="1192"/>
      <c r="C13" s="1193"/>
      <c r="D13" s="35" t="s">
        <v>5</v>
      </c>
      <c r="E13" s="36">
        <f>+'EQUIPOS '!D6</f>
        <v>84117</v>
      </c>
      <c r="F13" s="31">
        <v>4.5490210064551562E-2</v>
      </c>
      <c r="G13" s="33">
        <f>+E13*F13</f>
        <v>3826.4999999998836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5001.2964777185398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/>
      <c r="B20" s="46"/>
      <c r="C20" s="47"/>
      <c r="D20" s="100"/>
      <c r="E20" s="98"/>
      <c r="F20" s="122"/>
      <c r="G20" s="96"/>
      <c r="H20" s="21"/>
    </row>
    <row r="21" spans="1:8">
      <c r="A21" s="86"/>
      <c r="B21" s="46"/>
      <c r="C21" s="47"/>
      <c r="D21" s="30"/>
      <c r="E21" s="101"/>
      <c r="F21" s="32"/>
      <c r="G21" s="31"/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0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 t="s">
        <v>342</v>
      </c>
      <c r="B33" s="46"/>
      <c r="C33" s="65">
        <f>+SALARIOS!C48*2</f>
        <v>65377.133333333331</v>
      </c>
      <c r="D33" s="66">
        <f>+SALARIOS!D48</f>
        <v>1.8056142176927319</v>
      </c>
      <c r="E33" s="31">
        <f>+C33*D33</f>
        <v>118045.88145866009</v>
      </c>
      <c r="F33" s="31">
        <v>9.952032745251449E-2</v>
      </c>
      <c r="G33" s="67">
        <f>+E33*F33</f>
        <v>11747.964777186562</v>
      </c>
      <c r="H33" s="34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11747.964777186562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16749.261254905101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2512.3891882357652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837.46306274525512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837.46306274525512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4187.3153137262752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20937</v>
      </c>
    </row>
  </sheetData>
  <mergeCells count="11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28" zoomScaleNormal="100" workbookViewId="0">
      <selection activeCell="B13" sqref="B13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446</v>
      </c>
      <c r="H7" s="23"/>
    </row>
    <row r="8" spans="1:8" ht="25.5" customHeight="1">
      <c r="A8" s="1235" t="s">
        <v>1074</v>
      </c>
      <c r="B8" s="1235"/>
      <c r="C8" s="1235"/>
      <c r="D8" s="1235"/>
      <c r="E8" s="1235"/>
      <c r="F8" s="1235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2235.6149977552418</v>
      </c>
      <c r="H12" s="34"/>
    </row>
    <row r="13" spans="1:8">
      <c r="A13" s="45" t="s">
        <v>43</v>
      </c>
      <c r="B13" s="46"/>
      <c r="C13" s="47"/>
      <c r="D13" s="35" t="s">
        <v>5</v>
      </c>
      <c r="E13" s="36">
        <f>+'EQUIPOS '!D6</f>
        <v>84117</v>
      </c>
      <c r="F13" s="96">
        <v>0.33333333333333348</v>
      </c>
      <c r="G13" s="33">
        <f>+E13*F13</f>
        <v>28039.000000000011</v>
      </c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30274.614997755252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 ht="26.25" customHeight="1">
      <c r="A21" s="1215" t="s">
        <v>265</v>
      </c>
      <c r="B21" s="1207"/>
      <c r="C21" s="1208"/>
      <c r="D21" s="30" t="s">
        <v>9</v>
      </c>
      <c r="E21" s="483">
        <f>MATERIALES!E35</f>
        <v>3571.4285714285716</v>
      </c>
      <c r="F21" s="115">
        <v>1</v>
      </c>
      <c r="G21" s="33">
        <f>E21*F21</f>
        <v>3571.4285714285716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3571.4285714285716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 t="s">
        <v>449</v>
      </c>
      <c r="B28" s="46"/>
      <c r="C28" s="57"/>
      <c r="D28" s="58">
        <v>12</v>
      </c>
      <c r="E28" s="58">
        <v>1</v>
      </c>
      <c r="F28" s="59">
        <f>+'EQUIPOS '!D18</f>
        <v>1250</v>
      </c>
      <c r="G28" s="59">
        <f>+D28*E28*F28</f>
        <v>15000</v>
      </c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15000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9.4692630108326084E-2</v>
      </c>
      <c r="G34" s="67">
        <f>+E34*F34</f>
        <v>22356.149977552417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22356.149977552417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71202.193546736235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10680.329032010435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3560.1096773368117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3560.1096773368117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17800.548386684059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89003</v>
      </c>
    </row>
  </sheetData>
  <mergeCells count="12">
    <mergeCell ref="A33:B33"/>
    <mergeCell ref="A3:C4"/>
    <mergeCell ref="A5:C5"/>
    <mergeCell ref="D5:H5"/>
    <mergeCell ref="A11:C11"/>
    <mergeCell ref="A15:C15"/>
    <mergeCell ref="A16:C16"/>
    <mergeCell ref="A17:C17"/>
    <mergeCell ref="A20:C20"/>
    <mergeCell ref="A27:B27"/>
    <mergeCell ref="A21:C21"/>
    <mergeCell ref="A8:F8"/>
  </mergeCells>
  <pageMargins left="0.7" right="0.7" top="0.75" bottom="0.75" header="0.3" footer="0.3"/>
  <pageSetup paperSize="9" scale="9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zoomScaleNormal="100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448</v>
      </c>
      <c r="H7" s="23"/>
    </row>
    <row r="8" spans="1:8">
      <c r="A8" s="22" t="s">
        <v>1075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3</v>
      </c>
      <c r="B12" s="135"/>
      <c r="C12" s="133"/>
      <c r="D12" s="133"/>
      <c r="E12" s="132"/>
      <c r="F12" s="31"/>
      <c r="G12" s="132">
        <f>H38*10%</f>
        <v>2531.0659449697355</v>
      </c>
      <c r="H12" s="34"/>
    </row>
    <row r="13" spans="1:8">
      <c r="A13" s="45" t="s">
        <v>43</v>
      </c>
      <c r="B13" s="46"/>
      <c r="C13" s="47"/>
      <c r="D13" s="35" t="s">
        <v>5</v>
      </c>
      <c r="E13" s="36">
        <f>+'EQUIPOS '!D6</f>
        <v>84117</v>
      </c>
      <c r="F13" s="96">
        <v>0.5</v>
      </c>
      <c r="G13" s="33">
        <f>+E13*F13</f>
        <v>42058.5</v>
      </c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44589.565944969734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 ht="22.5" customHeight="1">
      <c r="A21" s="1215" t="s">
        <v>265</v>
      </c>
      <c r="B21" s="1207"/>
      <c r="C21" s="1208"/>
      <c r="D21" s="30" t="s">
        <v>9</v>
      </c>
      <c r="E21" s="483">
        <f>MATERIALES!E35</f>
        <v>3571.4285714285716</v>
      </c>
      <c r="F21" s="115">
        <v>1</v>
      </c>
      <c r="G21" s="33">
        <f>E21*F21</f>
        <v>3571.4285714285716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3571.4285714285716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 t="s">
        <v>449</v>
      </c>
      <c r="B28" s="46"/>
      <c r="C28" s="57"/>
      <c r="D28" s="58">
        <v>12</v>
      </c>
      <c r="E28" s="58">
        <v>1</v>
      </c>
      <c r="F28" s="59">
        <f>+'EQUIPOS '!D18</f>
        <v>1250</v>
      </c>
      <c r="G28" s="59">
        <f>+D28*E28*F28</f>
        <v>15000</v>
      </c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15000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429</v>
      </c>
      <c r="B34" s="46"/>
      <c r="C34" s="65">
        <f>+SALARIOS!C48*4</f>
        <v>130754.26666666666</v>
      </c>
      <c r="D34" s="66">
        <f>+SALARIOS!D48</f>
        <v>1.8056142176927319</v>
      </c>
      <c r="E34" s="31">
        <f>+C34*D34</f>
        <v>236091.76291732019</v>
      </c>
      <c r="F34" s="31">
        <v>0.10720687217944658</v>
      </c>
      <c r="G34" s="67">
        <f>+E34*F34</f>
        <v>25310.659449697352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25310.659449697352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88471.653966095662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13270.748094914348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4423.5826983047837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4423.5826983047837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22117.913491523916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110590</v>
      </c>
    </row>
  </sheetData>
  <mergeCells count="11">
    <mergeCell ref="A33:B33"/>
    <mergeCell ref="A3:C4"/>
    <mergeCell ref="A5:C5"/>
    <mergeCell ref="D5:H5"/>
    <mergeCell ref="A11:C11"/>
    <mergeCell ref="A15:C15"/>
    <mergeCell ref="A16:C16"/>
    <mergeCell ref="A17:C17"/>
    <mergeCell ref="A20:C20"/>
    <mergeCell ref="A27:B27"/>
    <mergeCell ref="A21:C21"/>
  </mergeCells>
  <pageMargins left="0.7" right="0.7" top="0.75" bottom="0.75" header="0.3" footer="0.3"/>
  <pageSetup paperSize="9" scale="9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450</v>
      </c>
      <c r="H7" s="23"/>
    </row>
    <row r="8" spans="1:8">
      <c r="A8" s="22" t="s">
        <v>452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740.76705098256173</v>
      </c>
      <c r="H12" s="34"/>
    </row>
    <row r="13" spans="1:8">
      <c r="A13" s="45" t="s">
        <v>6</v>
      </c>
      <c r="B13" s="46"/>
      <c r="C13" s="47"/>
      <c r="D13" s="35" t="s">
        <v>5</v>
      </c>
      <c r="E13" s="36">
        <f>+'EQUIPOS '!D14</f>
        <v>115700</v>
      </c>
      <c r="F13" s="96">
        <v>7.142860847018051E-2</v>
      </c>
      <c r="G13" s="33">
        <f>+E13*F13</f>
        <v>8264.2899999998845</v>
      </c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9005.0570509824465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6.2752468940814321E-2</v>
      </c>
      <c r="G34" s="67">
        <f>+E34*F34</f>
        <v>7407.670509825617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7407.670509825617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16412.727560808064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2461.9091341212093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820.6363780404032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820.6363780404032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4103.1818902020159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20516</v>
      </c>
    </row>
  </sheetData>
  <mergeCells count="10">
    <mergeCell ref="A33:B33"/>
    <mergeCell ref="A3:C4"/>
    <mergeCell ref="A5:C5"/>
    <mergeCell ref="D5:H5"/>
    <mergeCell ref="A11:C11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451</v>
      </c>
      <c r="H7" s="23"/>
    </row>
    <row r="8" spans="1:8">
      <c r="A8" s="22" t="s">
        <v>454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45" t="s">
        <v>55</v>
      </c>
      <c r="B12" s="46"/>
      <c r="C12" s="47"/>
      <c r="D12" s="35" t="s">
        <v>5</v>
      </c>
      <c r="E12" s="36">
        <f>+'EQUIPOS '!D12</f>
        <v>154900</v>
      </c>
      <c r="F12" s="31">
        <v>1.8867914783733397E-2</v>
      </c>
      <c r="G12" s="33">
        <f>+E12*F12</f>
        <v>2922.6400000003032</v>
      </c>
      <c r="H12" s="34"/>
    </row>
    <row r="13" spans="1:8">
      <c r="A13" s="45" t="s">
        <v>419</v>
      </c>
      <c r="B13" s="46"/>
      <c r="C13" s="47"/>
      <c r="D13" s="35" t="s">
        <v>5</v>
      </c>
      <c r="E13" s="36">
        <f>+'EQUIPOS '!D17</f>
        <v>105700</v>
      </c>
      <c r="F13" s="96">
        <v>1.8867928098389442E-2</v>
      </c>
      <c r="G13" s="33">
        <f>+E13*F13</f>
        <v>1994.3399999997639</v>
      </c>
      <c r="H13" s="34"/>
    </row>
    <row r="14" spans="1:8">
      <c r="A14" s="123"/>
      <c r="B14" s="124"/>
      <c r="C14" s="125"/>
      <c r="D14" s="126"/>
      <c r="E14" s="126"/>
      <c r="F14" s="126"/>
      <c r="H14" s="34"/>
    </row>
    <row r="15" spans="1:8">
      <c r="A15" s="123"/>
      <c r="B15" s="124"/>
      <c r="C15" s="125"/>
      <c r="D15" s="126"/>
      <c r="E15" s="126"/>
      <c r="F15" s="126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4916.9800000000669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4916.9800000000669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737.54700000001003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245.84900000000334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245.84900000000334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1229.2450000000167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6146</v>
      </c>
    </row>
  </sheetData>
  <mergeCells count="9">
    <mergeCell ref="A33:B33"/>
    <mergeCell ref="A3:C4"/>
    <mergeCell ref="A5:C5"/>
    <mergeCell ref="D5:H5"/>
    <mergeCell ref="A11:C11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16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453</v>
      </c>
      <c r="H7" s="23"/>
    </row>
    <row r="8" spans="1:8">
      <c r="A8" s="22" t="s">
        <v>456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1385</v>
      </c>
      <c r="B12" s="1218"/>
      <c r="C12" s="1219"/>
      <c r="D12" s="30" t="s">
        <v>1054</v>
      </c>
      <c r="E12" s="48">
        <f>'EQUIPOS '!D7</f>
        <v>5959</v>
      </c>
      <c r="F12" s="120">
        <v>1</v>
      </c>
      <c r="G12" s="33">
        <f>+E12*F12</f>
        <v>5959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590.22940729330048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6549.2294072933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830</v>
      </c>
      <c r="B21" s="46"/>
      <c r="C21" s="47"/>
      <c r="D21" s="100" t="s">
        <v>47</v>
      </c>
      <c r="E21" s="98">
        <f>MATERIALES!E5</f>
        <v>68</v>
      </c>
      <c r="F21" s="122">
        <v>1</v>
      </c>
      <c r="G21" s="50">
        <f>E21*F21</f>
        <v>68</v>
      </c>
      <c r="H21" s="21"/>
    </row>
    <row r="22" spans="1:8">
      <c r="A22" s="86"/>
      <c r="B22" s="46"/>
      <c r="C22" s="47"/>
      <c r="D22" s="30"/>
      <c r="E22" s="101"/>
      <c r="F22" s="31"/>
      <c r="G22" s="33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0.05</v>
      </c>
      <c r="G34" s="67">
        <f>+E34*F34</f>
        <v>5902.2940729330048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5902.2940729330048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12519.523480226304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1877.9285220339455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625.97617401131527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625.97617401131527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3129.880870056576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15649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J48"/>
  <sheetViews>
    <sheetView topLeftCell="A19" workbookViewId="0">
      <selection activeCell="C26" sqref="C26"/>
    </sheetView>
  </sheetViews>
  <sheetFormatPr baseColWidth="10" defaultRowHeight="14.4"/>
  <cols>
    <col min="10" max="10" width="12" bestFit="1" customWidth="1"/>
  </cols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455</v>
      </c>
      <c r="H7" s="23"/>
    </row>
    <row r="8" spans="1:8">
      <c r="A8" s="22" t="s">
        <v>458</v>
      </c>
      <c r="B8" s="24"/>
      <c r="C8" s="23"/>
      <c r="D8" s="24"/>
      <c r="E8" s="24"/>
      <c r="F8" s="24"/>
      <c r="G8" s="24" t="s">
        <v>1251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1385</v>
      </c>
      <c r="B12" s="1218"/>
      <c r="C12" s="1219"/>
      <c r="D12" s="30" t="s">
        <v>1054</v>
      </c>
      <c r="E12" s="48">
        <f>'EQUIPOS '!D7</f>
        <v>5959</v>
      </c>
      <c r="F12" s="120">
        <v>1</v>
      </c>
      <c r="G12" s="507">
        <f>+E12*F12</f>
        <v>5959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779.1028176271567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6738.1028176271566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830</v>
      </c>
      <c r="B21" s="46"/>
      <c r="C21" s="47"/>
      <c r="D21" s="100" t="s">
        <v>47</v>
      </c>
      <c r="E21" s="98">
        <f>MATERIALES!E5</f>
        <v>68</v>
      </c>
      <c r="F21" s="122">
        <v>1</v>
      </c>
      <c r="G21" s="50">
        <f>E21*F21</f>
        <v>68</v>
      </c>
      <c r="H21" s="34"/>
    </row>
    <row r="22" spans="1:8">
      <c r="A22" s="86"/>
      <c r="B22" s="46"/>
      <c r="C22" s="47"/>
      <c r="D22" s="30"/>
      <c r="E22" s="101"/>
      <c r="F22" s="32"/>
      <c r="G22" s="33"/>
      <c r="H22" s="34"/>
    </row>
    <row r="23" spans="1:8">
      <c r="A23" s="87"/>
      <c r="B23" s="88"/>
      <c r="C23" s="89"/>
      <c r="D23" s="90"/>
      <c r="E23" s="91"/>
      <c r="F23" s="92"/>
      <c r="G23" s="33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68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6.6000000000000003E-2</v>
      </c>
      <c r="G34" s="67">
        <f>+E34*F34</f>
        <v>7791.0281762715667</v>
      </c>
      <c r="H34" s="34"/>
    </row>
    <row r="35" spans="1:10">
      <c r="A35" s="45"/>
      <c r="B35" s="46"/>
      <c r="C35" s="65"/>
      <c r="D35" s="66"/>
      <c r="E35" s="31"/>
      <c r="F35" s="31"/>
      <c r="G35" s="67"/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7791.0281762715667</v>
      </c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14597.130993898723</v>
      </c>
      <c r="J40" s="10"/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  <c r="J42" s="8"/>
    </row>
    <row r="43" spans="1:10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2189.5696490848086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729.85654969493623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729.85654969493623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3649.2827484746813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18246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457</v>
      </c>
      <c r="H7" s="23"/>
    </row>
    <row r="8" spans="1:8">
      <c r="A8" s="22" t="s">
        <v>461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43</v>
      </c>
      <c r="B12" s="1218"/>
      <c r="C12" s="1219"/>
      <c r="D12" s="30" t="s">
        <v>5</v>
      </c>
      <c r="E12" s="48">
        <f>+'EQUIPOS '!D6</f>
        <v>84117</v>
      </c>
      <c r="F12" s="120">
        <v>0.25</v>
      </c>
      <c r="G12" s="33">
        <f>+E12*F12</f>
        <v>21029.25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5625.7584603178511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26655.008460317851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0.47657388727178951</v>
      </c>
      <c r="G34" s="67">
        <f>+E34*F34</f>
        <v>56257.584603178504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56257.584603178504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82912.593063496359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12436.888959524453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4145.6296531748185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4145.6296531748185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20728.14826587409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103641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8"/>
  <sheetViews>
    <sheetView topLeftCell="A16" workbookViewId="0">
      <selection activeCell="G8" sqref="G8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183</v>
      </c>
      <c r="B7" s="24"/>
      <c r="C7" s="23"/>
      <c r="D7" s="2"/>
      <c r="E7" s="24"/>
      <c r="F7" s="2"/>
      <c r="G7" s="24" t="s">
        <v>459</v>
      </c>
      <c r="H7" s="23"/>
    </row>
    <row r="8" spans="1:8">
      <c r="A8" s="22" t="s">
        <v>460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217" t="s">
        <v>43</v>
      </c>
      <c r="B12" s="1218"/>
      <c r="C12" s="1219"/>
      <c r="D12" s="30" t="s">
        <v>5</v>
      </c>
      <c r="E12" s="48">
        <f>+'EQUIPOS '!D6</f>
        <v>84117</v>
      </c>
      <c r="F12" s="120">
        <v>0.27777773815043327</v>
      </c>
      <c r="G12" s="33">
        <f>+E12*F12</f>
        <v>23365.829999999994</v>
      </c>
      <c r="H12" s="34"/>
    </row>
    <row r="13" spans="1:8">
      <c r="A13" s="134" t="s">
        <v>834</v>
      </c>
      <c r="B13" s="135"/>
      <c r="C13" s="133"/>
      <c r="D13" s="133"/>
      <c r="E13" s="132"/>
      <c r="F13" s="31"/>
      <c r="G13" s="132">
        <f>H38*10%</f>
        <v>7874.8557521614603</v>
      </c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31240.685752161455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/>
      <c r="B21" s="46"/>
      <c r="C21" s="47"/>
      <c r="D21" s="100"/>
      <c r="E21" s="98"/>
      <c r="F21" s="122"/>
      <c r="G21" s="96"/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432</v>
      </c>
      <c r="B34" s="46"/>
      <c r="C34" s="65">
        <f>+SALARIOS!C48*3</f>
        <v>98065.7</v>
      </c>
      <c r="D34" s="66">
        <f>+SALARIOS!D48</f>
        <v>1.8056142176927319</v>
      </c>
      <c r="E34" s="31">
        <f>+C34*D34</f>
        <v>177068.82218799012</v>
      </c>
      <c r="F34" s="31">
        <v>0.44473418046463853</v>
      </c>
      <c r="G34" s="67">
        <f>+E34*F34</f>
        <v>78748.557521614595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78748.557521614595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109989.24327377605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16498.386491066409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5499.4621636888032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5499.4621636888032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27497.310818444017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137487</v>
      </c>
    </row>
  </sheetData>
  <mergeCells count="12">
    <mergeCell ref="A33:B33"/>
    <mergeCell ref="A3:C4"/>
    <mergeCell ref="A5:C5"/>
    <mergeCell ref="D5:H5"/>
    <mergeCell ref="A11:C11"/>
    <mergeCell ref="A12:C12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H47"/>
  <sheetViews>
    <sheetView workbookViewId="0">
      <selection activeCell="G9" sqref="G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27</v>
      </c>
      <c r="B7" s="24"/>
      <c r="C7" s="23"/>
      <c r="D7" s="2"/>
      <c r="E7" s="24"/>
      <c r="F7" s="2"/>
      <c r="G7" s="24" t="s">
        <v>462</v>
      </c>
      <c r="H7" s="23"/>
    </row>
    <row r="8" spans="1:8">
      <c r="A8" s="22" t="s">
        <v>463</v>
      </c>
      <c r="B8" s="24"/>
      <c r="C8" s="23"/>
      <c r="D8" s="24"/>
      <c r="E8" s="24"/>
      <c r="F8" s="24"/>
      <c r="G8" s="24" t="s">
        <v>1297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H37*10%</f>
        <v>3092.0020000000004</v>
      </c>
      <c r="H12" s="34"/>
    </row>
    <row r="13" spans="1:8">
      <c r="A13" s="1191"/>
      <c r="B13" s="1192"/>
      <c r="C13" s="1193"/>
      <c r="D13" s="35"/>
      <c r="E13" s="36"/>
      <c r="F13" s="31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 ht="15" thickBot="1">
      <c r="A16" s="1194"/>
      <c r="B16" s="1195"/>
      <c r="C16" s="1196"/>
      <c r="D16" s="38"/>
      <c r="E16" s="39"/>
      <c r="F16" s="40"/>
      <c r="G16" s="41"/>
      <c r="H16" s="42"/>
    </row>
    <row r="17" spans="1:8" ht="15" thickBot="1">
      <c r="A17" s="23"/>
      <c r="B17" s="23"/>
      <c r="C17" s="23"/>
      <c r="D17" s="23"/>
      <c r="E17" s="23"/>
      <c r="F17" s="23"/>
      <c r="G17" s="43" t="s">
        <v>289</v>
      </c>
      <c r="H17" s="44">
        <f>SUM(G12:G16)</f>
        <v>3092.0020000000004</v>
      </c>
    </row>
    <row r="18" spans="1:8" ht="15" thickBot="1">
      <c r="A18" s="25" t="s">
        <v>290</v>
      </c>
      <c r="B18" s="25"/>
      <c r="C18" s="23"/>
      <c r="D18" s="23"/>
      <c r="E18" s="23"/>
      <c r="F18" s="23"/>
      <c r="G18" s="23"/>
      <c r="H18" s="23"/>
    </row>
    <row r="19" spans="1:8">
      <c r="A19" s="1209" t="s">
        <v>283</v>
      </c>
      <c r="B19" s="1210"/>
      <c r="C19" s="1211"/>
      <c r="D19" s="147" t="s">
        <v>291</v>
      </c>
      <c r="E19" s="147" t="s">
        <v>292</v>
      </c>
      <c r="F19" s="147" t="s">
        <v>293</v>
      </c>
      <c r="G19" s="146" t="s">
        <v>287</v>
      </c>
      <c r="H19" s="29"/>
    </row>
    <row r="20" spans="1:8">
      <c r="A20" s="86" t="s">
        <v>888</v>
      </c>
      <c r="B20" s="46"/>
      <c r="C20" s="47"/>
      <c r="D20" s="100" t="s">
        <v>9</v>
      </c>
      <c r="E20" s="482">
        <f>'5,15'!H25</f>
        <v>322433.3</v>
      </c>
      <c r="F20" s="434">
        <v>0.03</v>
      </c>
      <c r="G20" s="434">
        <f>+E20*F20</f>
        <v>9672.9989999999998</v>
      </c>
      <c r="H20" s="21"/>
    </row>
    <row r="21" spans="1:8">
      <c r="A21" s="86" t="s">
        <v>119</v>
      </c>
      <c r="B21" s="46"/>
      <c r="C21" s="47"/>
      <c r="D21" s="30" t="s">
        <v>41</v>
      </c>
      <c r="E21" s="483">
        <f>+MATERIALES!E27</f>
        <v>540</v>
      </c>
      <c r="F21" s="30">
        <v>55</v>
      </c>
      <c r="G21" s="30">
        <f>+E21*F21</f>
        <v>29700</v>
      </c>
      <c r="H21" s="21"/>
    </row>
    <row r="22" spans="1:8">
      <c r="A22" s="87"/>
      <c r="B22" s="88"/>
      <c r="C22" s="89"/>
      <c r="D22" s="90"/>
      <c r="E22" s="91"/>
      <c r="F22" s="92"/>
      <c r="G22" s="97"/>
      <c r="H22" s="21"/>
    </row>
    <row r="23" spans="1:8" ht="15" thickBot="1">
      <c r="A23" s="51"/>
      <c r="B23" s="52"/>
      <c r="C23" s="53"/>
      <c r="D23" s="38"/>
      <c r="E23" s="39"/>
      <c r="F23" s="40"/>
      <c r="G23" s="41"/>
      <c r="H23" s="42"/>
    </row>
    <row r="24" spans="1:8" ht="15" thickBot="1">
      <c r="A24" s="23"/>
      <c r="B24" s="23"/>
      <c r="C24" s="23"/>
      <c r="D24" s="23"/>
      <c r="E24" s="23"/>
      <c r="F24" s="23"/>
      <c r="G24" s="43" t="s">
        <v>289</v>
      </c>
      <c r="H24" s="44">
        <f>SUM(G20:G23)</f>
        <v>39372.998999999996</v>
      </c>
    </row>
    <row r="25" spans="1:8" ht="15" thickBot="1">
      <c r="A25" s="54" t="s">
        <v>294</v>
      </c>
      <c r="B25" s="54"/>
      <c r="C25" s="52"/>
      <c r="D25" s="23"/>
      <c r="E25" s="23"/>
      <c r="F25" s="23"/>
      <c r="G25" s="23"/>
      <c r="H25" s="23"/>
    </row>
    <row r="26" spans="1:8">
      <c r="A26" s="1185" t="s">
        <v>295</v>
      </c>
      <c r="B26" s="1187"/>
      <c r="C26" s="55" t="s">
        <v>296</v>
      </c>
      <c r="D26" s="145" t="s">
        <v>297</v>
      </c>
      <c r="E26" s="145" t="s">
        <v>298</v>
      </c>
      <c r="F26" s="145" t="s">
        <v>299</v>
      </c>
      <c r="G26" s="56" t="s">
        <v>287</v>
      </c>
      <c r="H26" s="29"/>
    </row>
    <row r="27" spans="1:8">
      <c r="A27" s="45"/>
      <c r="B27" s="46"/>
      <c r="C27" s="57"/>
      <c r="D27" s="58"/>
      <c r="E27" s="58"/>
      <c r="F27" s="59"/>
      <c r="G27" s="59"/>
      <c r="H27" s="34"/>
    </row>
    <row r="28" spans="1:8">
      <c r="A28" s="45"/>
      <c r="B28" s="46"/>
      <c r="C28" s="60"/>
      <c r="D28" s="30"/>
      <c r="E28" s="58"/>
      <c r="F28" s="59"/>
      <c r="G28" s="59"/>
      <c r="H28" s="34"/>
    </row>
    <row r="29" spans="1:8" ht="15" thickBot="1">
      <c r="A29" s="62"/>
      <c r="B29" s="63"/>
      <c r="C29" s="38"/>
      <c r="D29" s="38"/>
      <c r="E29" s="170"/>
      <c r="F29" s="171"/>
      <c r="G29" s="38"/>
      <c r="H29" s="34"/>
    </row>
    <row r="30" spans="1:8" ht="15" thickBot="1">
      <c r="A30" s="23"/>
      <c r="B30" s="23"/>
      <c r="C30" s="23"/>
      <c r="D30" s="23"/>
      <c r="E30" s="23"/>
      <c r="F30" s="23"/>
      <c r="G30" s="43" t="s">
        <v>289</v>
      </c>
      <c r="H30" s="44">
        <f>SUM(G27:G29)</f>
        <v>0</v>
      </c>
    </row>
    <row r="31" spans="1:8" ht="15" thickBot="1">
      <c r="A31" s="54" t="s">
        <v>300</v>
      </c>
      <c r="B31" s="54"/>
      <c r="C31" s="23"/>
      <c r="D31" s="23"/>
      <c r="E31" s="23"/>
      <c r="F31" s="23"/>
      <c r="G31" s="23"/>
      <c r="H31" s="23"/>
    </row>
    <row r="32" spans="1:8">
      <c r="A32" s="1185" t="s">
        <v>301</v>
      </c>
      <c r="B32" s="1187"/>
      <c r="C32" s="145" t="s">
        <v>302</v>
      </c>
      <c r="D32" s="145" t="s">
        <v>303</v>
      </c>
      <c r="E32" s="85" t="s">
        <v>304</v>
      </c>
      <c r="F32" s="64" t="s">
        <v>286</v>
      </c>
      <c r="G32" s="144" t="s">
        <v>287</v>
      </c>
      <c r="H32" s="29"/>
    </row>
    <row r="33" spans="1:8">
      <c r="A33" s="45" t="s">
        <v>464</v>
      </c>
      <c r="B33" s="46"/>
      <c r="C33" s="65">
        <f>+SALARIOS!C48*1</f>
        <v>32688.566666666666</v>
      </c>
      <c r="D33" s="66">
        <f>+SALARIOS!D48</f>
        <v>1.8056142176927319</v>
      </c>
      <c r="E33" s="31">
        <f>+C33*D33</f>
        <v>59022.940729330046</v>
      </c>
      <c r="F33" s="59">
        <v>0.28238805796071054</v>
      </c>
      <c r="G33" s="67">
        <f>+E33*F33</f>
        <v>16667.373607685637</v>
      </c>
      <c r="H33" s="34"/>
    </row>
    <row r="34" spans="1:8">
      <c r="A34" s="45" t="s">
        <v>403</v>
      </c>
      <c r="B34" s="46"/>
      <c r="C34" s="65">
        <f>+SALARIOS!C49</f>
        <v>53170.636666666665</v>
      </c>
      <c r="D34" s="66">
        <f>+SALARIOS!D49</f>
        <v>1.724216206485921</v>
      </c>
      <c r="E34" s="31">
        <f>+C34*D34</f>
        <v>91677.673449841212</v>
      </c>
      <c r="F34" s="59">
        <v>0.15546474791501214</v>
      </c>
      <c r="G34" s="67">
        <f>+E34*F34</f>
        <v>14252.646392314366</v>
      </c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 ht="15" thickBot="1">
      <c r="A36" s="62"/>
      <c r="B36" s="68"/>
      <c r="C36" s="39"/>
      <c r="D36" s="53"/>
      <c r="E36" s="102"/>
      <c r="F36" s="53"/>
      <c r="G36" s="52"/>
      <c r="H36" s="42"/>
    </row>
    <row r="37" spans="1:8" ht="15" thickBot="1">
      <c r="A37" s="23"/>
      <c r="B37" s="23"/>
      <c r="C37" s="23"/>
      <c r="D37" s="23"/>
      <c r="E37" s="23"/>
      <c r="F37" s="23"/>
      <c r="G37" s="43" t="s">
        <v>289</v>
      </c>
      <c r="H37" s="44">
        <f>SUM(G33:G36)</f>
        <v>30920.020000000004</v>
      </c>
    </row>
    <row r="38" spans="1:8" ht="15" thickBot="1">
      <c r="A38" s="23"/>
      <c r="B38" s="23"/>
      <c r="C38" s="23"/>
      <c r="D38" s="23"/>
      <c r="E38" s="23"/>
      <c r="F38" s="23"/>
      <c r="G38" s="69"/>
      <c r="H38" s="20"/>
    </row>
    <row r="39" spans="1:8" ht="15" thickBot="1">
      <c r="A39" s="23"/>
      <c r="B39" s="23"/>
      <c r="C39" s="23"/>
      <c r="D39" s="23"/>
      <c r="E39" s="70" t="s">
        <v>306</v>
      </c>
      <c r="F39" s="71"/>
      <c r="G39" s="71"/>
      <c r="H39" s="44">
        <f>H17+H24+H30+H37</f>
        <v>73385.021000000008</v>
      </c>
    </row>
    <row r="40" spans="1:8" ht="15" thickBot="1">
      <c r="A40" s="25" t="s">
        <v>307</v>
      </c>
      <c r="B40" s="25"/>
      <c r="C40" s="23"/>
      <c r="D40" s="23"/>
      <c r="E40" s="23"/>
      <c r="F40" s="23"/>
      <c r="G40" s="23"/>
      <c r="H40" s="23"/>
    </row>
    <row r="41" spans="1:8">
      <c r="A41" s="72" t="s">
        <v>283</v>
      </c>
      <c r="B41" s="73"/>
      <c r="C41" s="73"/>
      <c r="D41" s="73"/>
      <c r="E41" s="74"/>
      <c r="F41" s="147" t="s">
        <v>308</v>
      </c>
      <c r="G41" s="146" t="s">
        <v>309</v>
      </c>
      <c r="H41" s="29"/>
    </row>
    <row r="42" spans="1:8">
      <c r="A42" s="45" t="s">
        <v>310</v>
      </c>
      <c r="B42" s="46"/>
      <c r="C42" s="46"/>
      <c r="D42" s="46"/>
      <c r="E42" s="47"/>
      <c r="F42" s="77">
        <f>(SALARIOS!C43)</f>
        <v>0.15</v>
      </c>
      <c r="G42" s="78">
        <f>++F42*H39</f>
        <v>11007.75315</v>
      </c>
      <c r="H42" s="79"/>
    </row>
    <row r="43" spans="1:8">
      <c r="A43" s="45" t="s">
        <v>311</v>
      </c>
      <c r="B43" s="46"/>
      <c r="C43" s="46"/>
      <c r="D43" s="46"/>
      <c r="E43" s="47"/>
      <c r="F43" s="77">
        <f>(SALARIOS!C44)</f>
        <v>0.05</v>
      </c>
      <c r="G43" s="78">
        <f>+F43*H39</f>
        <v>3669.2510500000008</v>
      </c>
      <c r="H43" s="79"/>
    </row>
    <row r="44" spans="1:8" ht="15" thickBot="1">
      <c r="A44" s="51" t="s">
        <v>312</v>
      </c>
      <c r="B44" s="52"/>
      <c r="C44" s="52"/>
      <c r="D44" s="52"/>
      <c r="E44" s="53"/>
      <c r="F44" s="80">
        <f>SALARIOS!C45</f>
        <v>0.05</v>
      </c>
      <c r="G44" s="81">
        <f>+F44*H39</f>
        <v>3669.2510500000008</v>
      </c>
      <c r="H44" s="42"/>
    </row>
    <row r="45" spans="1:8" ht="15" thickBot="1">
      <c r="A45" s="23"/>
      <c r="B45" s="23"/>
      <c r="C45" s="23"/>
      <c r="D45" s="23"/>
      <c r="E45" s="23"/>
      <c r="F45" s="23"/>
      <c r="G45" s="43" t="s">
        <v>289</v>
      </c>
      <c r="H45" s="82">
        <f>SUM(G42:G44)</f>
        <v>18346.255250000002</v>
      </c>
    </row>
    <row r="46" spans="1:8" ht="15" thickBot="1">
      <c r="A46" s="23"/>
      <c r="B46" s="23"/>
      <c r="C46" s="23"/>
      <c r="D46" s="23"/>
      <c r="E46" s="23"/>
      <c r="F46" s="23"/>
      <c r="G46" s="23"/>
      <c r="H46" s="23"/>
    </row>
    <row r="47" spans="1:8" ht="15" thickBot="1">
      <c r="A47" s="2"/>
      <c r="B47" s="2"/>
      <c r="C47" s="23"/>
      <c r="D47" s="70" t="s">
        <v>313</v>
      </c>
      <c r="E47" s="71"/>
      <c r="F47" s="71"/>
      <c r="G47" s="71"/>
      <c r="H47" s="44">
        <f>ROUND((H39+H45),0)</f>
        <v>91731</v>
      </c>
    </row>
  </sheetData>
  <mergeCells count="11">
    <mergeCell ref="A32:B32"/>
    <mergeCell ref="A3:C4"/>
    <mergeCell ref="A5:C5"/>
    <mergeCell ref="D5:H5"/>
    <mergeCell ref="A11:C11"/>
    <mergeCell ref="A13:C13"/>
    <mergeCell ref="A14:C14"/>
    <mergeCell ref="A15:C15"/>
    <mergeCell ref="A16:C16"/>
    <mergeCell ref="A19:C19"/>
    <mergeCell ref="A26:B26"/>
  </mergeCells>
  <pageMargins left="0.7" right="0.7" top="0.75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0"/>
  <sheetViews>
    <sheetView workbookViewId="0">
      <selection activeCell="L21" sqref="L21"/>
    </sheetView>
  </sheetViews>
  <sheetFormatPr baseColWidth="10" defaultRowHeight="14.4"/>
  <cols>
    <col min="1" max="1" width="11.5546875" customWidth="1"/>
    <col min="2" max="2" width="10.44140625" customWidth="1"/>
    <col min="3" max="3" width="15.88671875" bestFit="1" customWidth="1"/>
  </cols>
  <sheetData>
    <row r="1" spans="1:8">
      <c r="A1" s="2"/>
      <c r="B1" s="2"/>
      <c r="C1" s="2"/>
      <c r="D1" s="2"/>
      <c r="E1" s="2"/>
      <c r="F1" s="2"/>
      <c r="G1" s="2"/>
      <c r="H1" s="2"/>
    </row>
    <row r="2" spans="1:8" ht="15" thickBot="1">
      <c r="A2" s="2"/>
      <c r="B2" s="2"/>
      <c r="C2" s="2"/>
      <c r="D2" s="2"/>
      <c r="E2" s="2"/>
      <c r="F2" s="2"/>
      <c r="G2" s="2"/>
      <c r="H2" s="2"/>
    </row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319</v>
      </c>
      <c r="B7" s="24"/>
      <c r="C7" s="23"/>
      <c r="D7" s="2"/>
      <c r="E7" s="24"/>
      <c r="F7" s="2"/>
      <c r="G7" s="24" t="s">
        <v>331</v>
      </c>
      <c r="H7" s="23"/>
    </row>
    <row r="8" spans="1:8">
      <c r="A8" s="22" t="s">
        <v>1084</v>
      </c>
      <c r="B8" s="24"/>
      <c r="C8" s="23"/>
      <c r="D8" s="24"/>
      <c r="E8" s="24"/>
      <c r="F8" s="24"/>
      <c r="G8" s="24" t="s">
        <v>1293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568" t="s">
        <v>284</v>
      </c>
      <c r="E11" s="27" t="s">
        <v>285</v>
      </c>
      <c r="F11" s="568" t="s">
        <v>286</v>
      </c>
      <c r="G11" s="567" t="s">
        <v>287</v>
      </c>
      <c r="H11" s="29"/>
    </row>
    <row r="12" spans="1:8">
      <c r="A12" s="1188" t="s">
        <v>6</v>
      </c>
      <c r="B12" s="1189"/>
      <c r="C12" s="1190"/>
      <c r="D12" s="30"/>
      <c r="E12" s="31">
        <f>'EQUIPOS '!D14</f>
        <v>115700</v>
      </c>
      <c r="F12" s="31">
        <v>4.6236972149606731E-2</v>
      </c>
      <c r="G12" s="507">
        <f>E12*F12</f>
        <v>5349.6176777094988</v>
      </c>
      <c r="H12" s="34"/>
    </row>
    <row r="13" spans="1:8">
      <c r="A13" s="1191"/>
      <c r="B13" s="1192"/>
      <c r="C13" s="1193"/>
      <c r="D13" s="35"/>
      <c r="E13" s="36"/>
      <c r="F13" s="37"/>
      <c r="G13" s="33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5349.6176777094988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185" t="s">
        <v>283</v>
      </c>
      <c r="B20" s="1186"/>
      <c r="C20" s="1187"/>
      <c r="D20" s="568" t="s">
        <v>291</v>
      </c>
      <c r="E20" s="568" t="s">
        <v>292</v>
      </c>
      <c r="F20" s="568" t="s">
        <v>293</v>
      </c>
      <c r="G20" s="567" t="s">
        <v>287</v>
      </c>
      <c r="H20" s="29"/>
    </row>
    <row r="21" spans="1:8">
      <c r="A21" s="45"/>
      <c r="B21" s="46"/>
      <c r="C21" s="47"/>
      <c r="D21" s="30"/>
      <c r="E21" s="48"/>
      <c r="F21" s="32"/>
      <c r="G21" s="33"/>
      <c r="H21" s="34"/>
    </row>
    <row r="22" spans="1:8">
      <c r="A22" s="45"/>
      <c r="B22" s="46"/>
      <c r="C22" s="47"/>
      <c r="D22" s="30"/>
      <c r="E22" s="48"/>
      <c r="F22" s="32"/>
      <c r="G22" s="33"/>
      <c r="H22" s="34"/>
    </row>
    <row r="23" spans="1:8">
      <c r="A23" s="45"/>
      <c r="B23" s="46"/>
      <c r="C23" s="47"/>
      <c r="D23" s="35"/>
      <c r="E23" s="36"/>
      <c r="F23" s="49"/>
      <c r="G23" s="50"/>
      <c r="H23" s="34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0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568" t="s">
        <v>297</v>
      </c>
      <c r="E27" s="568" t="s">
        <v>298</v>
      </c>
      <c r="F27" s="568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31"/>
      <c r="H28" s="34"/>
    </row>
    <row r="29" spans="1:8">
      <c r="A29" s="45"/>
      <c r="B29" s="46"/>
      <c r="C29" s="60"/>
      <c r="D29" s="30"/>
      <c r="E29" s="61"/>
      <c r="F29" s="31"/>
      <c r="G29" s="31"/>
      <c r="H29" s="34"/>
    </row>
    <row r="30" spans="1:8" ht="15" thickBot="1">
      <c r="A30" s="62"/>
      <c r="B30" s="63"/>
      <c r="C30" s="38"/>
      <c r="D30" s="39"/>
      <c r="E30" s="40"/>
      <c r="F30" s="4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568" t="s">
        <v>302</v>
      </c>
      <c r="D33" s="568" t="s">
        <v>303</v>
      </c>
      <c r="E33" s="85" t="s">
        <v>304</v>
      </c>
      <c r="F33" s="64" t="s">
        <v>286</v>
      </c>
      <c r="G33" s="567" t="s">
        <v>287</v>
      </c>
      <c r="H33" s="29"/>
    </row>
    <row r="34" spans="1:8">
      <c r="A34" s="45"/>
      <c r="B34" s="46"/>
      <c r="C34" s="65"/>
      <c r="D34" s="66"/>
      <c r="E34" s="31"/>
      <c r="F34" s="31"/>
      <c r="G34" s="67"/>
      <c r="H34" s="34"/>
    </row>
    <row r="35" spans="1:8">
      <c r="A35" s="45"/>
      <c r="B35" s="46"/>
      <c r="C35" s="65"/>
      <c r="D35" s="66"/>
      <c r="E35" s="31"/>
      <c r="F35" s="31"/>
      <c r="G35" s="67"/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53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0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5349.6176777094988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580" t="s">
        <v>308</v>
      </c>
      <c r="G42" s="579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SALARIOS!C43</f>
        <v>0.15</v>
      </c>
      <c r="G43" s="78">
        <f>++F43*H40</f>
        <v>802.4426516564248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SALARIOS!C44</f>
        <v>0.05</v>
      </c>
      <c r="G44" s="78">
        <f>+F44*H40</f>
        <v>267.48088388547495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267.48088388547495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1337.4044194273747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6687</v>
      </c>
    </row>
    <row r="49" spans="1:8">
      <c r="A49" s="2"/>
      <c r="B49" s="2"/>
      <c r="C49" s="2"/>
      <c r="D49" s="2"/>
      <c r="E49" s="2"/>
      <c r="F49" s="2"/>
      <c r="G49" s="2"/>
      <c r="H49" s="2"/>
    </row>
    <row r="50" spans="1:8">
      <c r="A50" s="2"/>
      <c r="B50" s="2"/>
      <c r="C50" s="2"/>
      <c r="D50" s="2"/>
      <c r="E50" s="2"/>
      <c r="F50" s="2"/>
      <c r="G50" s="2"/>
      <c r="H50" s="2"/>
    </row>
  </sheetData>
  <mergeCells count="13">
    <mergeCell ref="A13:C13"/>
    <mergeCell ref="A3:C4"/>
    <mergeCell ref="A5:C5"/>
    <mergeCell ref="D5:H5"/>
    <mergeCell ref="A11:C11"/>
    <mergeCell ref="A12:C12"/>
    <mergeCell ref="A33:B33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H48"/>
  <sheetViews>
    <sheetView workbookViewId="0">
      <selection activeCell="N39" sqref="N39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27</v>
      </c>
      <c r="B7" s="24"/>
      <c r="C7" s="23"/>
      <c r="D7" s="2"/>
      <c r="E7" s="24"/>
      <c r="F7" s="2"/>
      <c r="G7" s="24" t="s">
        <v>465</v>
      </c>
      <c r="H7" s="23"/>
    </row>
    <row r="8" spans="1:8">
      <c r="A8" s="22" t="s">
        <v>960</v>
      </c>
      <c r="B8" s="24"/>
      <c r="C8" s="23"/>
      <c r="D8" s="24"/>
      <c r="E8" s="24"/>
      <c r="F8" s="24"/>
      <c r="G8" s="24" t="s">
        <v>1609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309.61200897431195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309.61200897431195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957</v>
      </c>
      <c r="B21" s="46"/>
      <c r="C21" s="47"/>
      <c r="D21" s="100" t="s">
        <v>28</v>
      </c>
      <c r="E21" s="482">
        <f>MATERIALES!E3</f>
        <v>2927</v>
      </c>
      <c r="F21" s="434">
        <v>1.05</v>
      </c>
      <c r="G21" s="96">
        <f>+E21*F21</f>
        <v>3073.35</v>
      </c>
      <c r="H21" s="21"/>
    </row>
    <row r="22" spans="1:8">
      <c r="A22" s="86" t="s">
        <v>956</v>
      </c>
      <c r="B22" s="46"/>
      <c r="C22" s="47"/>
      <c r="D22" s="30" t="s">
        <v>28</v>
      </c>
      <c r="E22" s="483">
        <f>+MATERIALES!G8</f>
        <v>6176</v>
      </c>
      <c r="F22" s="59">
        <v>0.03</v>
      </c>
      <c r="G22" s="31">
        <f>+E22*F22</f>
        <v>185.28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3258.63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464</v>
      </c>
      <c r="B34" s="46"/>
      <c r="C34" s="65">
        <f>+SALARIOS!C48*1</f>
        <v>32688.566666666666</v>
      </c>
      <c r="D34" s="66">
        <f>+SALARIOS!D48</f>
        <v>1.8056142176927319</v>
      </c>
      <c r="E34" s="31">
        <f>+C34*D34</f>
        <v>59022.940729330046</v>
      </c>
      <c r="F34" s="59">
        <v>2.1391116829238103E-2</v>
      </c>
      <c r="G34" s="67">
        <f>+E34*F34</f>
        <v>1262.566620746295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59">
        <v>0.02</v>
      </c>
      <c r="G35" s="67">
        <f>+E35*F35</f>
        <v>1833.5534689968242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3096.120089743119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6664.3620987174309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999.65431480761458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333.21810493587157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333.21810493587157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1666.0905246793577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8330</v>
      </c>
    </row>
  </sheetData>
  <mergeCells count="11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H48"/>
  <sheetViews>
    <sheetView workbookViewId="0">
      <selection activeCell="M41" sqref="M4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>
      <c r="A7" s="22" t="s">
        <v>27</v>
      </c>
      <c r="B7" s="24"/>
      <c r="C7" s="23"/>
      <c r="D7" s="2"/>
      <c r="E7" s="24"/>
      <c r="F7" s="2"/>
      <c r="G7" s="24" t="s">
        <v>466</v>
      </c>
      <c r="H7" s="23"/>
    </row>
    <row r="8" spans="1:8">
      <c r="A8" s="22" t="s">
        <v>961</v>
      </c>
      <c r="B8" s="24"/>
      <c r="C8" s="23"/>
      <c r="D8" s="24"/>
      <c r="E8" s="24"/>
      <c r="F8" s="24"/>
      <c r="G8" s="24" t="s">
        <v>1609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135.54658197959799</v>
      </c>
      <c r="H12" s="34"/>
    </row>
    <row r="13" spans="1:8">
      <c r="A13" s="123"/>
      <c r="B13" s="124"/>
      <c r="C13" s="125"/>
      <c r="D13" s="126"/>
      <c r="E13" s="126"/>
      <c r="F13" s="126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135.54658197959799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962</v>
      </c>
      <c r="B21" s="46"/>
      <c r="C21" s="47"/>
      <c r="D21" s="100" t="s">
        <v>28</v>
      </c>
      <c r="E21" s="482">
        <f>+MATERIALES!E2</f>
        <v>3088</v>
      </c>
      <c r="F21" s="434">
        <v>1.05</v>
      </c>
      <c r="G21" s="96">
        <f>+E21*F21</f>
        <v>3242.4</v>
      </c>
      <c r="H21" s="21"/>
    </row>
    <row r="22" spans="1:8">
      <c r="A22" s="86" t="s">
        <v>137</v>
      </c>
      <c r="B22" s="46"/>
      <c r="C22" s="47"/>
      <c r="D22" s="30" t="s">
        <v>28</v>
      </c>
      <c r="E22" s="483">
        <f>+MATERIALES!G8</f>
        <v>6176</v>
      </c>
      <c r="F22" s="59">
        <v>0.03</v>
      </c>
      <c r="G22" s="31">
        <f>+E22*F22</f>
        <v>185.28</v>
      </c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3427.6800000000003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464</v>
      </c>
      <c r="B34" s="46"/>
      <c r="C34" s="65">
        <f>+SALARIOS!C48</f>
        <v>32688.566666666666</v>
      </c>
      <c r="D34" s="66">
        <f>+SALARIOS!D48</f>
        <v>1.8056142176927319</v>
      </c>
      <c r="E34" s="31">
        <f>+C34*D34</f>
        <v>59022.940729330046</v>
      </c>
      <c r="F34" s="59">
        <v>8.9857731958762899E-3</v>
      </c>
      <c r="G34" s="67">
        <f>+E34*F34</f>
        <v>530.36675874740888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59">
        <v>8.9999999999999993E-3</v>
      </c>
      <c r="G35" s="67">
        <f>+E35*F35</f>
        <v>825.09906104857089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1355.4658197959798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4918.6924017755782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737.80386026633676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245.93462008877893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245.93462008877893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1229.6731004438946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6148</v>
      </c>
    </row>
  </sheetData>
  <mergeCells count="11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J48"/>
  <sheetViews>
    <sheetView workbookViewId="0">
      <selection activeCell="M25" sqref="M25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1.75" customHeight="1">
      <c r="A7" s="1235" t="s">
        <v>1140</v>
      </c>
      <c r="B7" s="1235"/>
      <c r="C7" s="1235"/>
      <c r="D7" s="1235"/>
      <c r="E7" s="1235"/>
      <c r="F7" s="2"/>
      <c r="G7" s="24" t="s">
        <v>467</v>
      </c>
      <c r="H7" s="23"/>
    </row>
    <row r="8" spans="1:8">
      <c r="A8" s="22" t="s">
        <v>468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2726.4062138105173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2726.4062138105173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469</v>
      </c>
      <c r="B21" s="46"/>
      <c r="C21" s="47"/>
      <c r="D21" s="100" t="s">
        <v>1</v>
      </c>
      <c r="E21" s="98">
        <f>+MATERIALES!E163</f>
        <v>34475.1</v>
      </c>
      <c r="F21" s="122">
        <v>1</v>
      </c>
      <c r="G21" s="96">
        <f>+E21*F21</f>
        <v>34475.1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34475.1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0.13</v>
      </c>
      <c r="G34" s="67">
        <f>+E34*F34</f>
        <v>15345.964589625813</v>
      </c>
      <c r="H34" s="34"/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0.13</v>
      </c>
      <c r="G35" s="67">
        <f>+E35*F35</f>
        <v>11918.097548479358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27264.062138105171</v>
      </c>
      <c r="J38" s="44"/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64465.568351915688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9669.8352527873521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3223.2784175957845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3223.2784175957845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16116.39208797892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80582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J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1140</v>
      </c>
      <c r="B7" s="1235"/>
      <c r="C7" s="1235"/>
      <c r="D7" s="1235"/>
      <c r="E7" s="1235"/>
      <c r="F7" s="2"/>
      <c r="G7" s="24" t="s">
        <v>470</v>
      </c>
      <c r="H7" s="23"/>
    </row>
    <row r="8" spans="1:8">
      <c r="A8" s="22" t="s">
        <v>471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3145.8533236275198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3145.8533236275198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472</v>
      </c>
      <c r="B21" s="46"/>
      <c r="C21" s="47"/>
      <c r="D21" s="100" t="s">
        <v>1</v>
      </c>
      <c r="E21" s="98">
        <f>+MATERIALES!E164</f>
        <v>57702.5</v>
      </c>
      <c r="F21" s="122">
        <v>1</v>
      </c>
      <c r="G21" s="96">
        <f>+E21*F21</f>
        <v>57702.5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57702.5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10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10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0.15</v>
      </c>
      <c r="G34" s="67">
        <f>+E34*F34</f>
        <v>17706.882218799012</v>
      </c>
      <c r="H34" s="34"/>
    </row>
    <row r="35" spans="1:10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0.15</v>
      </c>
      <c r="G35" s="67">
        <f>+E35*F35</f>
        <v>13751.651017476181</v>
      </c>
      <c r="H35" s="34"/>
    </row>
    <row r="36" spans="1:10">
      <c r="A36" s="45"/>
      <c r="B36" s="46"/>
      <c r="C36" s="65"/>
      <c r="D36" s="66"/>
      <c r="E36" s="31"/>
      <c r="F36" s="31"/>
      <c r="G36" s="67"/>
      <c r="H36" s="34"/>
    </row>
    <row r="37" spans="1:10" ht="15" thickBot="1">
      <c r="A37" s="62"/>
      <c r="B37" s="68"/>
      <c r="C37" s="39"/>
      <c r="D37" s="53"/>
      <c r="E37" s="102"/>
      <c r="F37" s="53"/>
      <c r="G37" s="52"/>
      <c r="H37" s="42"/>
    </row>
    <row r="38" spans="1:10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31458.533236275194</v>
      </c>
      <c r="J38" s="604"/>
    </row>
    <row r="39" spans="1:10" ht="15" thickBot="1">
      <c r="A39" s="23"/>
      <c r="B39" s="23"/>
      <c r="C39" s="23"/>
      <c r="D39" s="23"/>
      <c r="E39" s="23"/>
      <c r="F39" s="23"/>
      <c r="G39" s="69"/>
      <c r="H39" s="20"/>
    </row>
    <row r="40" spans="1:10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92306.886559902719</v>
      </c>
    </row>
    <row r="41" spans="1:10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10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10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13846.032983985408</v>
      </c>
      <c r="H43" s="79"/>
    </row>
    <row r="44" spans="1:10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4615.3443279951362</v>
      </c>
      <c r="H44" s="79"/>
    </row>
    <row r="45" spans="1:10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4615.3443279951362</v>
      </c>
      <c r="H45" s="42"/>
    </row>
    <row r="46" spans="1:10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23076.72163997568</v>
      </c>
    </row>
    <row r="47" spans="1:10" ht="15" thickBot="1">
      <c r="A47" s="23"/>
      <c r="B47" s="23"/>
      <c r="C47" s="23"/>
      <c r="D47" s="23"/>
      <c r="E47" s="23"/>
      <c r="F47" s="23"/>
      <c r="G47" s="23"/>
      <c r="H47" s="23"/>
    </row>
    <row r="48" spans="1:10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115384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" customHeight="1">
      <c r="A7" s="1235" t="s">
        <v>1140</v>
      </c>
      <c r="B7" s="1235"/>
      <c r="C7" s="1235"/>
      <c r="D7" s="1235"/>
      <c r="E7" s="1235"/>
      <c r="F7" s="2"/>
      <c r="G7" s="24" t="s">
        <v>473</v>
      </c>
      <c r="H7" s="23"/>
    </row>
    <row r="8" spans="1:8">
      <c r="A8" s="22" t="s">
        <v>474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3984.7475432615247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3984.7475432615247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475</v>
      </c>
      <c r="B21" s="46"/>
      <c r="C21" s="47"/>
      <c r="D21" s="100" t="s">
        <v>1</v>
      </c>
      <c r="E21" s="98">
        <f>+MATERIALES!E165</f>
        <v>74681.7</v>
      </c>
      <c r="F21" s="122">
        <v>1</v>
      </c>
      <c r="G21" s="96">
        <f>+E21*F21</f>
        <v>74681.7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74681.7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0.19</v>
      </c>
      <c r="G34" s="67">
        <f>+E34*F34</f>
        <v>22428.717477145419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0.19</v>
      </c>
      <c r="G35" s="67">
        <f>+E35*F35</f>
        <v>17418.757955469831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39847.475432615247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118513.92297587676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17777.088446381513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5925.6961487938388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5925.6961487938388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29628.48074396919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148142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7" customHeight="1">
      <c r="A7" s="1235" t="s">
        <v>1140</v>
      </c>
      <c r="B7" s="1235"/>
      <c r="C7" s="1235"/>
      <c r="D7" s="1235"/>
      <c r="E7" s="1235"/>
      <c r="F7" s="2"/>
      <c r="G7" s="24" t="s">
        <v>476</v>
      </c>
      <c r="H7" s="23"/>
    </row>
    <row r="8" spans="1:8">
      <c r="A8" s="22" t="s">
        <v>477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4613.9182079870288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4613.9182079870288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478</v>
      </c>
      <c r="B21" s="46"/>
      <c r="C21" s="47"/>
      <c r="D21" s="100" t="s">
        <v>1</v>
      </c>
      <c r="E21" s="98">
        <f>+MATERIALES!E166</f>
        <v>94695.5</v>
      </c>
      <c r="F21" s="122">
        <v>1</v>
      </c>
      <c r="G21" s="96">
        <f>+E21*F21</f>
        <v>94695.5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94695.5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0.22</v>
      </c>
      <c r="G34" s="67">
        <f>+E34*F34</f>
        <v>25970.093920905219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0.22</v>
      </c>
      <c r="G35" s="67">
        <f>+E35*F35</f>
        <v>20169.088158965067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46139.182079870283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145448.60028785729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21817.290043178593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7272.4300143928649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7272.4300143928649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36362.150071964323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181811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5.5" customHeight="1">
      <c r="A7" s="1235" t="s">
        <v>1140</v>
      </c>
      <c r="B7" s="1235"/>
      <c r="C7" s="1235"/>
      <c r="D7" s="1235"/>
      <c r="E7" s="1235"/>
      <c r="F7" s="2"/>
      <c r="G7" s="24" t="s">
        <v>479</v>
      </c>
      <c r="H7" s="23"/>
    </row>
    <row r="8" spans="1:8">
      <c r="A8" s="22" t="s">
        <v>480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5033.3653178040313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5033.3653178040313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481</v>
      </c>
      <c r="B21" s="46"/>
      <c r="C21" s="47"/>
      <c r="D21" s="100" t="s">
        <v>1</v>
      </c>
      <c r="E21" s="98">
        <f>+MATERIALES!E167</f>
        <v>125903.5</v>
      </c>
      <c r="F21" s="122">
        <v>1</v>
      </c>
      <c r="G21" s="96">
        <f>+E21*F21</f>
        <v>125903.5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125903.5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0.24</v>
      </c>
      <c r="G34" s="67">
        <f>+E34*F34</f>
        <v>28331.01155007842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0.24</v>
      </c>
      <c r="G35" s="67">
        <f>+E35*F35</f>
        <v>22002.64162796189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50333.653178040309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181270.51849584433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27190.577774376648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9063.5259247922168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9063.5259247922168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45317.629623961082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226588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5.5" customHeight="1">
      <c r="A7" s="1235" t="s">
        <v>1140</v>
      </c>
      <c r="B7" s="1235"/>
      <c r="C7" s="1235"/>
      <c r="D7" s="1235"/>
      <c r="E7" s="1235"/>
      <c r="F7" s="2"/>
      <c r="G7" s="24" t="s">
        <v>482</v>
      </c>
      <c r="H7" s="23"/>
    </row>
    <row r="8" spans="1:8">
      <c r="A8" s="22" t="s">
        <v>483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5872.2595374380371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5872.2595374380371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484</v>
      </c>
      <c r="B21" s="46"/>
      <c r="C21" s="47"/>
      <c r="D21" s="100" t="s">
        <v>1</v>
      </c>
      <c r="E21" s="98">
        <f>+MATERIALES!E168</f>
        <v>164062.39999999999</v>
      </c>
      <c r="F21" s="122">
        <v>1</v>
      </c>
      <c r="G21" s="96">
        <f>+E21*F21</f>
        <v>164062.39999999999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164062.39999999999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0.28000000000000003</v>
      </c>
      <c r="G34" s="67">
        <f>+E34*F34</f>
        <v>33052.846808424831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0.28000000000000003</v>
      </c>
      <c r="G35" s="67">
        <f>+E35*F35</f>
        <v>25669.748565955542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58722.595374380369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228657.25491181843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34298.588236772761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11432.862745590923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11432.862745590923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57164.313727954606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285822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4.75" customHeight="1">
      <c r="A7" s="1235" t="s">
        <v>1140</v>
      </c>
      <c r="B7" s="1235"/>
      <c r="C7" s="1235"/>
      <c r="D7" s="1235"/>
      <c r="E7" s="1235"/>
      <c r="F7" s="2"/>
      <c r="G7" s="24" t="s">
        <v>485</v>
      </c>
      <c r="H7" s="23"/>
    </row>
    <row r="8" spans="1:8">
      <c r="A8" s="22" t="s">
        <v>486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45" t="s">
        <v>284</v>
      </c>
      <c r="E11" s="27" t="s">
        <v>285</v>
      </c>
      <c r="F11" s="145" t="s">
        <v>286</v>
      </c>
      <c r="G11" s="144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6291.7066472550396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6291.7066472550396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47" t="s">
        <v>291</v>
      </c>
      <c r="E20" s="147" t="s">
        <v>292</v>
      </c>
      <c r="F20" s="147" t="s">
        <v>293</v>
      </c>
      <c r="G20" s="146" t="s">
        <v>287</v>
      </c>
      <c r="H20" s="29"/>
    </row>
    <row r="21" spans="1:8">
      <c r="A21" s="86" t="s">
        <v>487</v>
      </c>
      <c r="B21" s="46"/>
      <c r="C21" s="47"/>
      <c r="D21" s="100" t="s">
        <v>1</v>
      </c>
      <c r="E21" s="98">
        <f>+MATERIALES!E169</f>
        <v>221390.7</v>
      </c>
      <c r="F21" s="122">
        <v>1</v>
      </c>
      <c r="G21" s="96">
        <f>+E21*F21</f>
        <v>221390.7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221390.7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45" t="s">
        <v>297</v>
      </c>
      <c r="E27" s="145" t="s">
        <v>298</v>
      </c>
      <c r="F27" s="145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45" t="s">
        <v>302</v>
      </c>
      <c r="D33" s="145" t="s">
        <v>303</v>
      </c>
      <c r="E33" s="85" t="s">
        <v>304</v>
      </c>
      <c r="F33" s="64" t="s">
        <v>286</v>
      </c>
      <c r="G33" s="144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</v>
      </c>
      <c r="G34" s="67">
        <f>+E34*F34</f>
        <v>35413.764437598024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</v>
      </c>
      <c r="G35" s="67">
        <f>+E35*F35</f>
        <v>27503.302034952361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62917.066472550388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290599.47311980545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47" t="s">
        <v>308</v>
      </c>
      <c r="G42" s="146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43589.920967970815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14529.973655990274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14529.973655990274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72649.868279951363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363249</v>
      </c>
    </row>
  </sheetData>
  <mergeCells count="12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7:E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48"/>
  <sheetViews>
    <sheetView workbookViewId="0">
      <selection activeCell="G21" sqref="G21"/>
    </sheetView>
  </sheetViews>
  <sheetFormatPr baseColWidth="10" defaultRowHeight="14.4"/>
  <sheetData>
    <row r="2" spans="1:8" ht="15" thickBot="1"/>
    <row r="3" spans="1:8">
      <c r="A3" s="1197" t="s">
        <v>317</v>
      </c>
      <c r="B3" s="1198"/>
      <c r="C3" s="1199"/>
      <c r="D3" s="17"/>
      <c r="E3" s="18"/>
      <c r="F3" s="17"/>
      <c r="G3" s="17"/>
      <c r="H3" s="19"/>
    </row>
    <row r="4" spans="1:8">
      <c r="A4" s="1200"/>
      <c r="B4" s="1201"/>
      <c r="C4" s="1202"/>
      <c r="D4" s="20"/>
      <c r="E4" s="13" t="s">
        <v>281</v>
      </c>
      <c r="F4" s="20"/>
      <c r="G4" s="20"/>
      <c r="H4" s="21"/>
    </row>
    <row r="5" spans="1:8" ht="15" thickBot="1">
      <c r="A5" s="1203" t="s">
        <v>318</v>
      </c>
      <c r="B5" s="1204"/>
      <c r="C5" s="1205"/>
      <c r="D5" s="1182"/>
      <c r="E5" s="1183"/>
      <c r="F5" s="1183"/>
      <c r="G5" s="1183"/>
      <c r="H5" s="1184"/>
    </row>
    <row r="6" spans="1:8">
      <c r="A6" s="22"/>
      <c r="B6" s="23"/>
      <c r="C6" s="23"/>
      <c r="D6" s="23"/>
      <c r="E6" s="23"/>
      <c r="F6" s="23"/>
      <c r="G6" s="23"/>
      <c r="H6" s="23"/>
    </row>
    <row r="7" spans="1:8" ht="25.5" customHeight="1">
      <c r="A7" s="1235" t="s">
        <v>1140</v>
      </c>
      <c r="B7" s="1235"/>
      <c r="C7" s="1235"/>
      <c r="D7" s="1235"/>
      <c r="E7" s="1235"/>
      <c r="F7" s="2"/>
      <c r="G7" s="24" t="s">
        <v>488</v>
      </c>
      <c r="H7" s="23"/>
    </row>
    <row r="8" spans="1:8">
      <c r="A8" s="22" t="s">
        <v>489</v>
      </c>
      <c r="B8" s="24"/>
      <c r="C8" s="23"/>
      <c r="D8" s="24"/>
      <c r="E8" s="24"/>
      <c r="F8" s="24"/>
      <c r="G8" s="24" t="s">
        <v>315</v>
      </c>
      <c r="H8" s="23"/>
    </row>
    <row r="9" spans="1:8">
      <c r="A9" s="24"/>
      <c r="B9" s="24"/>
      <c r="C9" s="23"/>
      <c r="D9" s="24"/>
      <c r="E9" s="24"/>
      <c r="F9" s="24"/>
      <c r="G9" s="24"/>
      <c r="H9" s="23"/>
    </row>
    <row r="10" spans="1:8" ht="15" thickBot="1">
      <c r="A10" s="25" t="s">
        <v>282</v>
      </c>
      <c r="B10" s="25"/>
      <c r="C10" s="23"/>
      <c r="D10" s="23"/>
      <c r="E10" s="23"/>
      <c r="F10" s="23"/>
      <c r="G10" s="23"/>
      <c r="H10" s="23"/>
    </row>
    <row r="11" spans="1:8">
      <c r="A11" s="1185" t="s">
        <v>283</v>
      </c>
      <c r="B11" s="1186"/>
      <c r="C11" s="1187"/>
      <c r="D11" s="154" t="s">
        <v>284</v>
      </c>
      <c r="E11" s="27" t="s">
        <v>285</v>
      </c>
      <c r="F11" s="154" t="s">
        <v>286</v>
      </c>
      <c r="G11" s="153" t="s">
        <v>287</v>
      </c>
      <c r="H11" s="29"/>
    </row>
    <row r="12" spans="1:8">
      <c r="A12" s="134" t="s">
        <v>834</v>
      </c>
      <c r="B12" s="135"/>
      <c r="C12" s="133"/>
      <c r="D12" s="133"/>
      <c r="E12" s="132"/>
      <c r="F12" s="31"/>
      <c r="G12" s="132">
        <f>H38*10%</f>
        <v>6711.1537570720429</v>
      </c>
      <c r="H12" s="34"/>
    </row>
    <row r="13" spans="1:8">
      <c r="A13" s="134"/>
      <c r="B13" s="124"/>
      <c r="C13" s="125"/>
      <c r="D13" s="126"/>
      <c r="E13" s="126"/>
      <c r="F13" s="126"/>
      <c r="G13" s="132"/>
      <c r="H13" s="34"/>
    </row>
    <row r="14" spans="1:8">
      <c r="A14" s="1191"/>
      <c r="B14" s="1192"/>
      <c r="C14" s="1193"/>
      <c r="D14" s="35"/>
      <c r="E14" s="36"/>
      <c r="F14" s="31"/>
      <c r="G14" s="33"/>
      <c r="H14" s="34"/>
    </row>
    <row r="15" spans="1:8">
      <c r="A15" s="1191"/>
      <c r="B15" s="1192"/>
      <c r="C15" s="1193"/>
      <c r="D15" s="35"/>
      <c r="E15" s="36"/>
      <c r="F15" s="31"/>
      <c r="G15" s="33"/>
      <c r="H15" s="34"/>
    </row>
    <row r="16" spans="1:8">
      <c r="A16" s="1191"/>
      <c r="B16" s="1192"/>
      <c r="C16" s="1193"/>
      <c r="D16" s="35"/>
      <c r="E16" s="36"/>
      <c r="F16" s="31"/>
      <c r="G16" s="33"/>
      <c r="H16" s="34"/>
    </row>
    <row r="17" spans="1:8" ht="15" thickBot="1">
      <c r="A17" s="1194"/>
      <c r="B17" s="1195"/>
      <c r="C17" s="1196"/>
      <c r="D17" s="38"/>
      <c r="E17" s="39"/>
      <c r="F17" s="40"/>
      <c r="G17" s="41"/>
      <c r="H17" s="42"/>
    </row>
    <row r="18" spans="1:8" ht="15" thickBot="1">
      <c r="A18" s="23"/>
      <c r="B18" s="23"/>
      <c r="C18" s="23"/>
      <c r="D18" s="23"/>
      <c r="E18" s="23"/>
      <c r="F18" s="23"/>
      <c r="G18" s="43" t="s">
        <v>289</v>
      </c>
      <c r="H18" s="44">
        <f>SUM(G12:G17)</f>
        <v>6711.1537570720429</v>
      </c>
    </row>
    <row r="19" spans="1:8" ht="15" thickBot="1">
      <c r="A19" s="25" t="s">
        <v>290</v>
      </c>
      <c r="B19" s="25"/>
      <c r="C19" s="23"/>
      <c r="D19" s="23"/>
      <c r="E19" s="23"/>
      <c r="F19" s="23"/>
      <c r="G19" s="23"/>
      <c r="H19" s="23"/>
    </row>
    <row r="20" spans="1:8">
      <c r="A20" s="1209" t="s">
        <v>283</v>
      </c>
      <c r="B20" s="1210"/>
      <c r="C20" s="1211"/>
      <c r="D20" s="166" t="s">
        <v>291</v>
      </c>
      <c r="E20" s="166" t="s">
        <v>292</v>
      </c>
      <c r="F20" s="166" t="s">
        <v>293</v>
      </c>
      <c r="G20" s="165" t="s">
        <v>287</v>
      </c>
      <c r="H20" s="29"/>
    </row>
    <row r="21" spans="1:8" ht="26.25" customHeight="1">
      <c r="A21" s="1215" t="s">
        <v>490</v>
      </c>
      <c r="B21" s="1207"/>
      <c r="C21" s="1208"/>
      <c r="D21" s="100" t="s">
        <v>1</v>
      </c>
      <c r="E21" s="98">
        <f>+MATERIALES!E170</f>
        <v>265054.3</v>
      </c>
      <c r="F21" s="122">
        <v>1</v>
      </c>
      <c r="G21" s="96">
        <f>+E21*F21</f>
        <v>265054.3</v>
      </c>
      <c r="H21" s="21"/>
    </row>
    <row r="22" spans="1:8">
      <c r="A22" s="86"/>
      <c r="B22" s="46"/>
      <c r="C22" s="47"/>
      <c r="D22" s="30"/>
      <c r="E22" s="101"/>
      <c r="F22" s="32"/>
      <c r="G22" s="31"/>
      <c r="H22" s="21"/>
    </row>
    <row r="23" spans="1:8">
      <c r="A23" s="87"/>
      <c r="B23" s="88"/>
      <c r="C23" s="89"/>
      <c r="D23" s="90"/>
      <c r="E23" s="91"/>
      <c r="F23" s="92"/>
      <c r="G23" s="97"/>
      <c r="H23" s="21"/>
    </row>
    <row r="24" spans="1:8" ht="15" thickBot="1">
      <c r="A24" s="51"/>
      <c r="B24" s="52"/>
      <c r="C24" s="53"/>
      <c r="D24" s="38"/>
      <c r="E24" s="39"/>
      <c r="F24" s="40"/>
      <c r="G24" s="41"/>
      <c r="H24" s="42"/>
    </row>
    <row r="25" spans="1:8" ht="15" thickBot="1">
      <c r="A25" s="23"/>
      <c r="B25" s="23"/>
      <c r="C25" s="23"/>
      <c r="D25" s="23"/>
      <c r="E25" s="23"/>
      <c r="F25" s="23"/>
      <c r="G25" s="43" t="s">
        <v>289</v>
      </c>
      <c r="H25" s="44">
        <f>SUM(G21:G24)</f>
        <v>265054.3</v>
      </c>
    </row>
    <row r="26" spans="1:8" ht="15" thickBot="1">
      <c r="A26" s="54" t="s">
        <v>294</v>
      </c>
      <c r="B26" s="54"/>
      <c r="C26" s="52"/>
      <c r="D26" s="23"/>
      <c r="E26" s="23"/>
      <c r="F26" s="23"/>
      <c r="G26" s="23"/>
      <c r="H26" s="23"/>
    </row>
    <row r="27" spans="1:8">
      <c r="A27" s="1185" t="s">
        <v>295</v>
      </c>
      <c r="B27" s="1187"/>
      <c r="C27" s="55" t="s">
        <v>296</v>
      </c>
      <c r="D27" s="154" t="s">
        <v>297</v>
      </c>
      <c r="E27" s="154" t="s">
        <v>298</v>
      </c>
      <c r="F27" s="154" t="s">
        <v>299</v>
      </c>
      <c r="G27" s="56" t="s">
        <v>287</v>
      </c>
      <c r="H27" s="29"/>
    </row>
    <row r="28" spans="1:8">
      <c r="A28" s="45"/>
      <c r="B28" s="46"/>
      <c r="C28" s="57"/>
      <c r="D28" s="58"/>
      <c r="E28" s="58"/>
      <c r="F28" s="59"/>
      <c r="G28" s="59"/>
      <c r="H28" s="34"/>
    </row>
    <row r="29" spans="1:8">
      <c r="A29" s="45"/>
      <c r="B29" s="46"/>
      <c r="C29" s="60"/>
      <c r="D29" s="30"/>
      <c r="E29" s="58"/>
      <c r="F29" s="59"/>
      <c r="G29" s="59"/>
      <c r="H29" s="34"/>
    </row>
    <row r="30" spans="1:8" ht="15" thickBot="1">
      <c r="A30" s="62"/>
      <c r="B30" s="63"/>
      <c r="C30" s="38"/>
      <c r="D30" s="38"/>
      <c r="E30" s="170"/>
      <c r="F30" s="171"/>
      <c r="G30" s="38"/>
      <c r="H30" s="34"/>
    </row>
    <row r="31" spans="1:8" ht="15" thickBot="1">
      <c r="A31" s="23"/>
      <c r="B31" s="23"/>
      <c r="C31" s="23"/>
      <c r="D31" s="23"/>
      <c r="E31" s="23"/>
      <c r="F31" s="23"/>
      <c r="G31" s="43" t="s">
        <v>289</v>
      </c>
      <c r="H31" s="44">
        <f>SUM(G28:G30)</f>
        <v>0</v>
      </c>
    </row>
    <row r="32" spans="1:8" ht="15" thickBot="1">
      <c r="A32" s="54" t="s">
        <v>300</v>
      </c>
      <c r="B32" s="54"/>
      <c r="C32" s="23"/>
      <c r="D32" s="23"/>
      <c r="E32" s="23"/>
      <c r="F32" s="23"/>
      <c r="G32" s="23"/>
      <c r="H32" s="23"/>
    </row>
    <row r="33" spans="1:8">
      <c r="A33" s="1185" t="s">
        <v>301</v>
      </c>
      <c r="B33" s="1187"/>
      <c r="C33" s="154" t="s">
        <v>302</v>
      </c>
      <c r="D33" s="154" t="s">
        <v>303</v>
      </c>
      <c r="E33" s="85" t="s">
        <v>304</v>
      </c>
      <c r="F33" s="64" t="s">
        <v>286</v>
      </c>
      <c r="G33" s="153" t="s">
        <v>287</v>
      </c>
      <c r="H33" s="29"/>
    </row>
    <row r="34" spans="1:8">
      <c r="A34" s="45" t="s">
        <v>342</v>
      </c>
      <c r="B34" s="46"/>
      <c r="C34" s="65">
        <f>+SALARIOS!C48*2</f>
        <v>65377.133333333331</v>
      </c>
      <c r="D34" s="66">
        <f>+SALARIOS!D48</f>
        <v>1.8056142176927319</v>
      </c>
      <c r="E34" s="31">
        <f>+C34*D34</f>
        <v>118045.88145866009</v>
      </c>
      <c r="F34" s="31">
        <v>0.32</v>
      </c>
      <c r="G34" s="67">
        <f>+E34*F34</f>
        <v>37774.682066771231</v>
      </c>
      <c r="H34" s="34"/>
    </row>
    <row r="35" spans="1:8">
      <c r="A35" s="45" t="s">
        <v>403</v>
      </c>
      <c r="B35" s="46"/>
      <c r="C35" s="65">
        <f>+SALARIOS!C49</f>
        <v>53170.636666666665</v>
      </c>
      <c r="D35" s="66">
        <f>+SALARIOS!D49</f>
        <v>1.724216206485921</v>
      </c>
      <c r="E35" s="31">
        <f>+C35*D35</f>
        <v>91677.673449841212</v>
      </c>
      <c r="F35" s="31">
        <v>0.32</v>
      </c>
      <c r="G35" s="67">
        <f>+E35*F35</f>
        <v>29336.855503949188</v>
      </c>
      <c r="H35" s="34"/>
    </row>
    <row r="36" spans="1:8">
      <c r="A36" s="45"/>
      <c r="B36" s="46"/>
      <c r="C36" s="65"/>
      <c r="D36" s="66"/>
      <c r="E36" s="31"/>
      <c r="F36" s="31"/>
      <c r="G36" s="67"/>
      <c r="H36" s="34"/>
    </row>
    <row r="37" spans="1:8" ht="15" thickBot="1">
      <c r="A37" s="62"/>
      <c r="B37" s="68"/>
      <c r="C37" s="39"/>
      <c r="D37" s="53"/>
      <c r="E37" s="102"/>
      <c r="F37" s="53"/>
      <c r="G37" s="52"/>
      <c r="H37" s="42"/>
    </row>
    <row r="38" spans="1:8" ht="15" thickBot="1">
      <c r="A38" s="23"/>
      <c r="B38" s="23"/>
      <c r="C38" s="23"/>
      <c r="D38" s="23"/>
      <c r="E38" s="23"/>
      <c r="F38" s="23"/>
      <c r="G38" s="43" t="s">
        <v>289</v>
      </c>
      <c r="H38" s="44">
        <f>SUM(G34:G37)</f>
        <v>67111.537570720422</v>
      </c>
    </row>
    <row r="39" spans="1:8" ht="15" thickBot="1">
      <c r="A39" s="23"/>
      <c r="B39" s="23"/>
      <c r="C39" s="23"/>
      <c r="D39" s="23"/>
      <c r="E39" s="23"/>
      <c r="F39" s="23"/>
      <c r="G39" s="69"/>
      <c r="H39" s="20"/>
    </row>
    <row r="40" spans="1:8" ht="15" thickBot="1">
      <c r="A40" s="23"/>
      <c r="B40" s="23"/>
      <c r="C40" s="23"/>
      <c r="D40" s="23"/>
      <c r="E40" s="70" t="s">
        <v>306</v>
      </c>
      <c r="F40" s="71"/>
      <c r="G40" s="71"/>
      <c r="H40" s="44">
        <f>H18+H25+H31+H38</f>
        <v>338876.99132779246</v>
      </c>
    </row>
    <row r="41" spans="1:8" ht="15" thickBot="1">
      <c r="A41" s="25" t="s">
        <v>307</v>
      </c>
      <c r="B41" s="25"/>
      <c r="C41" s="23"/>
      <c r="D41" s="23"/>
      <c r="E41" s="23"/>
      <c r="F41" s="23"/>
      <c r="G41" s="23"/>
      <c r="H41" s="23"/>
    </row>
    <row r="42" spans="1:8">
      <c r="A42" s="72" t="s">
        <v>283</v>
      </c>
      <c r="B42" s="73"/>
      <c r="C42" s="73"/>
      <c r="D42" s="73"/>
      <c r="E42" s="74"/>
      <c r="F42" s="166" t="s">
        <v>308</v>
      </c>
      <c r="G42" s="165" t="s">
        <v>309</v>
      </c>
      <c r="H42" s="29"/>
    </row>
    <row r="43" spans="1:8">
      <c r="A43" s="45" t="s">
        <v>310</v>
      </c>
      <c r="B43" s="46"/>
      <c r="C43" s="46"/>
      <c r="D43" s="46"/>
      <c r="E43" s="47"/>
      <c r="F43" s="77">
        <f>(SALARIOS!C43)</f>
        <v>0.15</v>
      </c>
      <c r="G43" s="78">
        <f>++F43*H40</f>
        <v>50831.548699168867</v>
      </c>
      <c r="H43" s="79"/>
    </row>
    <row r="44" spans="1:8">
      <c r="A44" s="45" t="s">
        <v>311</v>
      </c>
      <c r="B44" s="46"/>
      <c r="C44" s="46"/>
      <c r="D44" s="46"/>
      <c r="E44" s="47"/>
      <c r="F44" s="77">
        <f>(SALARIOS!C44)</f>
        <v>0.05</v>
      </c>
      <c r="G44" s="78">
        <f>+F44*H40</f>
        <v>16943.849566389625</v>
      </c>
      <c r="H44" s="79"/>
    </row>
    <row r="45" spans="1:8" ht="15" thickBot="1">
      <c r="A45" s="51" t="s">
        <v>312</v>
      </c>
      <c r="B45" s="52"/>
      <c r="C45" s="52"/>
      <c r="D45" s="52"/>
      <c r="E45" s="53"/>
      <c r="F45" s="80">
        <f>SALARIOS!C45</f>
        <v>0.05</v>
      </c>
      <c r="G45" s="81">
        <f>+F45*H40</f>
        <v>16943.849566389625</v>
      </c>
      <c r="H45" s="42"/>
    </row>
    <row r="46" spans="1:8" ht="15" thickBot="1">
      <c r="A46" s="23"/>
      <c r="B46" s="23"/>
      <c r="C46" s="23"/>
      <c r="D46" s="23"/>
      <c r="E46" s="23"/>
      <c r="F46" s="23"/>
      <c r="G46" s="43" t="s">
        <v>289</v>
      </c>
      <c r="H46" s="82">
        <f>SUM(G43:G45)</f>
        <v>84719.247831948131</v>
      </c>
    </row>
    <row r="47" spans="1:8" ht="15" thickBot="1">
      <c r="A47" s="23"/>
      <c r="B47" s="23"/>
      <c r="C47" s="23"/>
      <c r="D47" s="23"/>
      <c r="E47" s="23"/>
      <c r="F47" s="23"/>
      <c r="G47" s="23"/>
      <c r="H47" s="23"/>
    </row>
    <row r="48" spans="1:8" ht="15" thickBot="1">
      <c r="A48" s="2"/>
      <c r="B48" s="2"/>
      <c r="C48" s="23"/>
      <c r="D48" s="70" t="s">
        <v>313</v>
      </c>
      <c r="E48" s="71"/>
      <c r="F48" s="71"/>
      <c r="G48" s="71"/>
      <c r="H48" s="44">
        <f>ROUND((H40+H46),0)</f>
        <v>423596</v>
      </c>
    </row>
  </sheetData>
  <mergeCells count="13">
    <mergeCell ref="A33:B33"/>
    <mergeCell ref="A3:C4"/>
    <mergeCell ref="A5:C5"/>
    <mergeCell ref="D5:H5"/>
    <mergeCell ref="A11:C11"/>
    <mergeCell ref="A14:C14"/>
    <mergeCell ref="A15:C15"/>
    <mergeCell ref="A16:C16"/>
    <mergeCell ref="A17:C17"/>
    <mergeCell ref="A20:C20"/>
    <mergeCell ref="A27:B27"/>
    <mergeCell ref="A21:C21"/>
    <mergeCell ref="A7: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361</vt:i4>
      </vt:variant>
      <vt:variant>
        <vt:lpstr>Rangos con nombre</vt:lpstr>
      </vt:variant>
      <vt:variant>
        <vt:i4>3</vt:i4>
      </vt:variant>
    </vt:vector>
  </HeadingPairs>
  <TitlesOfParts>
    <vt:vector size="364" baseType="lpstr">
      <vt:lpstr>ITEMS</vt:lpstr>
      <vt:lpstr>SALARIOS</vt:lpstr>
      <vt:lpstr>EQUIPOS </vt:lpstr>
      <vt:lpstr>MATERIALES</vt:lpstr>
      <vt:lpstr>Insumo Concreto - Morteros</vt:lpstr>
      <vt:lpstr>1,1</vt:lpstr>
      <vt:lpstr>1,2</vt:lpstr>
      <vt:lpstr>1,3</vt:lpstr>
      <vt:lpstr>1,4</vt:lpstr>
      <vt:lpstr>1,5</vt:lpstr>
      <vt:lpstr>1,6</vt:lpstr>
      <vt:lpstr>1,7</vt:lpstr>
      <vt:lpstr>1,8</vt:lpstr>
      <vt:lpstr>1,9</vt:lpstr>
      <vt:lpstr>1,10</vt:lpstr>
      <vt:lpstr>1,11</vt:lpstr>
      <vt:lpstr>1,12</vt:lpstr>
      <vt:lpstr>1,13</vt:lpstr>
      <vt:lpstr>2,1</vt:lpstr>
      <vt:lpstr>2,2</vt:lpstr>
      <vt:lpstr>2,3</vt:lpstr>
      <vt:lpstr>2,4</vt:lpstr>
      <vt:lpstr>2,5</vt:lpstr>
      <vt:lpstr>3,1</vt:lpstr>
      <vt:lpstr>3,2</vt:lpstr>
      <vt:lpstr>3,3</vt:lpstr>
      <vt:lpstr>3,4</vt:lpstr>
      <vt:lpstr>3,5</vt:lpstr>
      <vt:lpstr>3,6</vt:lpstr>
      <vt:lpstr>3,7</vt:lpstr>
      <vt:lpstr>3,8</vt:lpstr>
      <vt:lpstr>3,9</vt:lpstr>
      <vt:lpstr>3,10</vt:lpstr>
      <vt:lpstr>3,11</vt:lpstr>
      <vt:lpstr>3,12</vt:lpstr>
      <vt:lpstr>3,13</vt:lpstr>
      <vt:lpstr>3,14</vt:lpstr>
      <vt:lpstr>3,15</vt:lpstr>
      <vt:lpstr>4,1</vt:lpstr>
      <vt:lpstr>4,2</vt:lpstr>
      <vt:lpstr>4,3</vt:lpstr>
      <vt:lpstr>4,4</vt:lpstr>
      <vt:lpstr>4,5</vt:lpstr>
      <vt:lpstr>4,6</vt:lpstr>
      <vt:lpstr>4,7</vt:lpstr>
      <vt:lpstr>4,8</vt:lpstr>
      <vt:lpstr>4,9</vt:lpstr>
      <vt:lpstr>4,10</vt:lpstr>
      <vt:lpstr>4,11</vt:lpstr>
      <vt:lpstr>4,12</vt:lpstr>
      <vt:lpstr>5,1</vt:lpstr>
      <vt:lpstr>5,2</vt:lpstr>
      <vt:lpstr>5,3</vt:lpstr>
      <vt:lpstr>5,4</vt:lpstr>
      <vt:lpstr>5,5</vt:lpstr>
      <vt:lpstr>5,6</vt:lpstr>
      <vt:lpstr>5,7</vt:lpstr>
      <vt:lpstr>5,8</vt:lpstr>
      <vt:lpstr>5,9</vt:lpstr>
      <vt:lpstr>5,10</vt:lpstr>
      <vt:lpstr>5,11</vt:lpstr>
      <vt:lpstr>5,12</vt:lpstr>
      <vt:lpstr>5,13</vt:lpstr>
      <vt:lpstr>5,14</vt:lpstr>
      <vt:lpstr>5,15</vt:lpstr>
      <vt:lpstr>5,16</vt:lpstr>
      <vt:lpstr>6,1</vt:lpstr>
      <vt:lpstr>6,2</vt:lpstr>
      <vt:lpstr>6,3</vt:lpstr>
      <vt:lpstr>6,4</vt:lpstr>
      <vt:lpstr>6,5</vt:lpstr>
      <vt:lpstr>6,6</vt:lpstr>
      <vt:lpstr>6,7</vt:lpstr>
      <vt:lpstr>6,8</vt:lpstr>
      <vt:lpstr>6,9</vt:lpstr>
      <vt:lpstr>6,10</vt:lpstr>
      <vt:lpstr>6,11</vt:lpstr>
      <vt:lpstr>6,12</vt:lpstr>
      <vt:lpstr>6,13</vt:lpstr>
      <vt:lpstr>6,14</vt:lpstr>
      <vt:lpstr>6,15</vt:lpstr>
      <vt:lpstr>6,16</vt:lpstr>
      <vt:lpstr>6,17</vt:lpstr>
      <vt:lpstr>6,18</vt:lpstr>
      <vt:lpstr>6,19</vt:lpstr>
      <vt:lpstr>6,20</vt:lpstr>
      <vt:lpstr>6,21</vt:lpstr>
      <vt:lpstr>6,22</vt:lpstr>
      <vt:lpstr>7,1</vt:lpstr>
      <vt:lpstr>7,2</vt:lpstr>
      <vt:lpstr>7,3</vt:lpstr>
      <vt:lpstr>8,1,1</vt:lpstr>
      <vt:lpstr>8,1,2</vt:lpstr>
      <vt:lpstr>8,1,3</vt:lpstr>
      <vt:lpstr>8,1,4</vt:lpstr>
      <vt:lpstr>8,1,5</vt:lpstr>
      <vt:lpstr>8,1,6</vt:lpstr>
      <vt:lpstr>8,1,7</vt:lpstr>
      <vt:lpstr>8,1,8</vt:lpstr>
      <vt:lpstr>8,1,9</vt:lpstr>
      <vt:lpstr>8,2,1</vt:lpstr>
      <vt:lpstr>8,2,2</vt:lpstr>
      <vt:lpstr>8,2,3</vt:lpstr>
      <vt:lpstr>8,2,4</vt:lpstr>
      <vt:lpstr>8,2,5</vt:lpstr>
      <vt:lpstr>8,2,6</vt:lpstr>
      <vt:lpstr>8,2,7</vt:lpstr>
      <vt:lpstr>8,2,8</vt:lpstr>
      <vt:lpstr>8,2,9</vt:lpstr>
      <vt:lpstr>9,1,1</vt:lpstr>
      <vt:lpstr>9,1,2</vt:lpstr>
      <vt:lpstr>9,1,3</vt:lpstr>
      <vt:lpstr>9,1,4</vt:lpstr>
      <vt:lpstr>9,1,5</vt:lpstr>
      <vt:lpstr>9,1,6</vt:lpstr>
      <vt:lpstr>9,1,7</vt:lpstr>
      <vt:lpstr>9,1,8</vt:lpstr>
      <vt:lpstr>9,1,9</vt:lpstr>
      <vt:lpstr>10,1,1</vt:lpstr>
      <vt:lpstr>10,1,2</vt:lpstr>
      <vt:lpstr>10,1,3</vt:lpstr>
      <vt:lpstr>10,1,4</vt:lpstr>
      <vt:lpstr>10,1,5</vt:lpstr>
      <vt:lpstr>10,1,6</vt:lpstr>
      <vt:lpstr>10,1,7</vt:lpstr>
      <vt:lpstr>10,1,8</vt:lpstr>
      <vt:lpstr>10,1,9</vt:lpstr>
      <vt:lpstr>11,1,1</vt:lpstr>
      <vt:lpstr>11,1,2</vt:lpstr>
      <vt:lpstr>11,1,3</vt:lpstr>
      <vt:lpstr>11,1,4</vt:lpstr>
      <vt:lpstr>11,1,5</vt:lpstr>
      <vt:lpstr>11,1,6</vt:lpstr>
      <vt:lpstr>11,1,7</vt:lpstr>
      <vt:lpstr>11,2,1</vt:lpstr>
      <vt:lpstr>11,2,2</vt:lpstr>
      <vt:lpstr>11,2,3</vt:lpstr>
      <vt:lpstr>11,2,4</vt:lpstr>
      <vt:lpstr>11,2,5</vt:lpstr>
      <vt:lpstr>11,2,6</vt:lpstr>
      <vt:lpstr>11,2,7</vt:lpstr>
      <vt:lpstr>12,1,1</vt:lpstr>
      <vt:lpstr>12,1,2</vt:lpstr>
      <vt:lpstr>12,1,3</vt:lpstr>
      <vt:lpstr>12,1,4</vt:lpstr>
      <vt:lpstr>12,1,5</vt:lpstr>
      <vt:lpstr>12,1,6</vt:lpstr>
      <vt:lpstr>12,1,7</vt:lpstr>
      <vt:lpstr>12,2,1</vt:lpstr>
      <vt:lpstr>12,2,2</vt:lpstr>
      <vt:lpstr>12,2,3</vt:lpstr>
      <vt:lpstr>12,2,4</vt:lpstr>
      <vt:lpstr>12,2,5</vt:lpstr>
      <vt:lpstr>12,2,6</vt:lpstr>
      <vt:lpstr>12,2,7</vt:lpstr>
      <vt:lpstr>13,1,1</vt:lpstr>
      <vt:lpstr>13,1,2</vt:lpstr>
      <vt:lpstr>13,1,3</vt:lpstr>
      <vt:lpstr>13,1,4</vt:lpstr>
      <vt:lpstr>13,1,5</vt:lpstr>
      <vt:lpstr>13,1,6</vt:lpstr>
      <vt:lpstr>13,1,7</vt:lpstr>
      <vt:lpstr>13,1,8</vt:lpstr>
      <vt:lpstr>13,1,9</vt:lpstr>
      <vt:lpstr>13,1,10</vt:lpstr>
      <vt:lpstr>13,1,11</vt:lpstr>
      <vt:lpstr>13,1,12</vt:lpstr>
      <vt:lpstr>13,1,13</vt:lpstr>
      <vt:lpstr>14,1,1</vt:lpstr>
      <vt:lpstr>14,1,2</vt:lpstr>
      <vt:lpstr>14,1,3</vt:lpstr>
      <vt:lpstr>14,1,4</vt:lpstr>
      <vt:lpstr>14,1,5</vt:lpstr>
      <vt:lpstr>14,1,6</vt:lpstr>
      <vt:lpstr>14,1,7</vt:lpstr>
      <vt:lpstr>14,1,8</vt:lpstr>
      <vt:lpstr>14,1,9</vt:lpstr>
      <vt:lpstr>14,1,10</vt:lpstr>
      <vt:lpstr>14,1,11</vt:lpstr>
      <vt:lpstr>14,1,12</vt:lpstr>
      <vt:lpstr>15,1,1</vt:lpstr>
      <vt:lpstr>15,1,2</vt:lpstr>
      <vt:lpstr>15,1,3</vt:lpstr>
      <vt:lpstr>15,1,4</vt:lpstr>
      <vt:lpstr>15,1,5</vt:lpstr>
      <vt:lpstr>15,1,6</vt:lpstr>
      <vt:lpstr>15,1,7</vt:lpstr>
      <vt:lpstr>15,1,8</vt:lpstr>
      <vt:lpstr>16,1,1</vt:lpstr>
      <vt:lpstr>16,1,2</vt:lpstr>
      <vt:lpstr>16,1,3</vt:lpstr>
      <vt:lpstr>16,1,4</vt:lpstr>
      <vt:lpstr>16,1,5</vt:lpstr>
      <vt:lpstr>16,1,6</vt:lpstr>
      <vt:lpstr>16,1,7</vt:lpstr>
      <vt:lpstr>17,1,1</vt:lpstr>
      <vt:lpstr>17,1,2</vt:lpstr>
      <vt:lpstr>17,1,3</vt:lpstr>
      <vt:lpstr>17,1,4</vt:lpstr>
      <vt:lpstr>17,1,5</vt:lpstr>
      <vt:lpstr>17,1,6</vt:lpstr>
      <vt:lpstr>17,1,7</vt:lpstr>
      <vt:lpstr>18,1,1</vt:lpstr>
      <vt:lpstr>18,1,2</vt:lpstr>
      <vt:lpstr>18,1,3</vt:lpstr>
      <vt:lpstr>18,1,4</vt:lpstr>
      <vt:lpstr>18,1,5</vt:lpstr>
      <vt:lpstr>18,1,6</vt:lpstr>
      <vt:lpstr>18,1,7</vt:lpstr>
      <vt:lpstr>19,1,1</vt:lpstr>
      <vt:lpstr>19,1,2</vt:lpstr>
      <vt:lpstr>19,1,3</vt:lpstr>
      <vt:lpstr>19,1,4</vt:lpstr>
      <vt:lpstr>19,1,5</vt:lpstr>
      <vt:lpstr>19,1,6</vt:lpstr>
      <vt:lpstr>19,1,7</vt:lpstr>
      <vt:lpstr>19,1,8</vt:lpstr>
      <vt:lpstr>19,1,9</vt:lpstr>
      <vt:lpstr>19,1,10</vt:lpstr>
      <vt:lpstr>19,1,11</vt:lpstr>
      <vt:lpstr>19,1,12</vt:lpstr>
      <vt:lpstr>19,1,13</vt:lpstr>
      <vt:lpstr>19,1,14</vt:lpstr>
      <vt:lpstr>19,1,15</vt:lpstr>
      <vt:lpstr>19,2,1</vt:lpstr>
      <vt:lpstr>19,2,2</vt:lpstr>
      <vt:lpstr>19,2,3</vt:lpstr>
      <vt:lpstr>19,2,4</vt:lpstr>
      <vt:lpstr>20,1</vt:lpstr>
      <vt:lpstr>20,2</vt:lpstr>
      <vt:lpstr>20,3</vt:lpstr>
      <vt:lpstr>20,4</vt:lpstr>
      <vt:lpstr>20,5</vt:lpstr>
      <vt:lpstr>20,6</vt:lpstr>
      <vt:lpstr>20,7</vt:lpstr>
      <vt:lpstr>20,8</vt:lpstr>
      <vt:lpstr>20,9</vt:lpstr>
      <vt:lpstr>20,10</vt:lpstr>
      <vt:lpstr>20,11</vt:lpstr>
      <vt:lpstr>20,12</vt:lpstr>
      <vt:lpstr>20,13</vt:lpstr>
      <vt:lpstr>20,14</vt:lpstr>
      <vt:lpstr>20,15</vt:lpstr>
      <vt:lpstr>20,16</vt:lpstr>
      <vt:lpstr>20,17</vt:lpstr>
      <vt:lpstr>20,18</vt:lpstr>
      <vt:lpstr>20,19</vt:lpstr>
      <vt:lpstr>20,20</vt:lpstr>
      <vt:lpstr>20,21</vt:lpstr>
      <vt:lpstr>20,22</vt:lpstr>
      <vt:lpstr>20,23</vt:lpstr>
      <vt:lpstr>20,24</vt:lpstr>
      <vt:lpstr>20,25</vt:lpstr>
      <vt:lpstr>20,26</vt:lpstr>
      <vt:lpstr>20,27</vt:lpstr>
      <vt:lpstr>20,28</vt:lpstr>
      <vt:lpstr>20,29</vt:lpstr>
      <vt:lpstr>20,30</vt:lpstr>
      <vt:lpstr>20,31</vt:lpstr>
      <vt:lpstr>20,32</vt:lpstr>
      <vt:lpstr>20,33</vt:lpstr>
      <vt:lpstr>20,34</vt:lpstr>
      <vt:lpstr>20,35</vt:lpstr>
      <vt:lpstr>20,36</vt:lpstr>
      <vt:lpstr>20,37</vt:lpstr>
      <vt:lpstr>20,38</vt:lpstr>
      <vt:lpstr>20,39</vt:lpstr>
      <vt:lpstr>20,40</vt:lpstr>
      <vt:lpstr>20,41</vt:lpstr>
      <vt:lpstr>20,42</vt:lpstr>
      <vt:lpstr>20,43</vt:lpstr>
      <vt:lpstr>20,44</vt:lpstr>
      <vt:lpstr>20,45</vt:lpstr>
      <vt:lpstr>20,46</vt:lpstr>
      <vt:lpstr>20,47</vt:lpstr>
      <vt:lpstr>20,48</vt:lpstr>
      <vt:lpstr>20,49</vt:lpstr>
      <vt:lpstr>20,50</vt:lpstr>
      <vt:lpstr>20,51</vt:lpstr>
      <vt:lpstr>20,52</vt:lpstr>
      <vt:lpstr>20,53</vt:lpstr>
      <vt:lpstr>20,54</vt:lpstr>
      <vt:lpstr>21,1</vt:lpstr>
      <vt:lpstr>21,2</vt:lpstr>
      <vt:lpstr>21,3</vt:lpstr>
      <vt:lpstr>21,4</vt:lpstr>
      <vt:lpstr>21,5</vt:lpstr>
      <vt:lpstr>21,6</vt:lpstr>
      <vt:lpstr>22,1</vt:lpstr>
      <vt:lpstr>22,2</vt:lpstr>
      <vt:lpstr>22,3</vt:lpstr>
      <vt:lpstr>22,4</vt:lpstr>
      <vt:lpstr>22,5</vt:lpstr>
      <vt:lpstr>22,6</vt:lpstr>
      <vt:lpstr>22,7</vt:lpstr>
      <vt:lpstr>22,8</vt:lpstr>
      <vt:lpstr>22,9</vt:lpstr>
      <vt:lpstr>22,10</vt:lpstr>
      <vt:lpstr>22,11</vt:lpstr>
      <vt:lpstr>22,12</vt:lpstr>
      <vt:lpstr>22,13</vt:lpstr>
      <vt:lpstr>22,14</vt:lpstr>
      <vt:lpstr>22,15</vt:lpstr>
      <vt:lpstr>22,16</vt:lpstr>
      <vt:lpstr>22,17</vt:lpstr>
      <vt:lpstr>22,18</vt:lpstr>
      <vt:lpstr>22,19</vt:lpstr>
      <vt:lpstr>22,20</vt:lpstr>
      <vt:lpstr>22,21</vt:lpstr>
      <vt:lpstr>22,22</vt:lpstr>
      <vt:lpstr>22,23</vt:lpstr>
      <vt:lpstr>22,24</vt:lpstr>
      <vt:lpstr>22,25</vt:lpstr>
      <vt:lpstr>22,26</vt:lpstr>
      <vt:lpstr>22,27</vt:lpstr>
      <vt:lpstr>22,28</vt:lpstr>
      <vt:lpstr>22,29</vt:lpstr>
      <vt:lpstr>22,30</vt:lpstr>
      <vt:lpstr>22,31</vt:lpstr>
      <vt:lpstr>22,32</vt:lpstr>
      <vt:lpstr>22,33</vt:lpstr>
      <vt:lpstr>22,34</vt:lpstr>
      <vt:lpstr>22,35</vt:lpstr>
      <vt:lpstr>22,36</vt:lpstr>
      <vt:lpstr>22,37</vt:lpstr>
      <vt:lpstr>22,38</vt:lpstr>
      <vt:lpstr>22,39</vt:lpstr>
      <vt:lpstr>22,40</vt:lpstr>
      <vt:lpstr>22,41</vt:lpstr>
      <vt:lpstr>22,42</vt:lpstr>
      <vt:lpstr>22,43</vt:lpstr>
      <vt:lpstr>22,44</vt:lpstr>
      <vt:lpstr>22,45</vt:lpstr>
      <vt:lpstr>22,46</vt:lpstr>
      <vt:lpstr>22,47</vt:lpstr>
      <vt:lpstr>22,48</vt:lpstr>
      <vt:lpstr>22,49</vt:lpstr>
      <vt:lpstr>22,50</vt:lpstr>
      <vt:lpstr>22,51</vt:lpstr>
      <vt:lpstr>23,1,1</vt:lpstr>
      <vt:lpstr>23,1,2</vt:lpstr>
      <vt:lpstr>23,1,3</vt:lpstr>
      <vt:lpstr>23,1,4</vt:lpstr>
      <vt:lpstr>23,1,5</vt:lpstr>
      <vt:lpstr>23,1,6</vt:lpstr>
      <vt:lpstr>23,1,7</vt:lpstr>
      <vt:lpstr>23,1,8</vt:lpstr>
      <vt:lpstr>23,1,9</vt:lpstr>
      <vt:lpstr>23,1,10</vt:lpstr>
      <vt:lpstr>23,1,11</vt:lpstr>
      <vt:lpstr>24,1,1</vt:lpstr>
      <vt:lpstr>24,1,2</vt:lpstr>
      <vt:lpstr>24,1,3</vt:lpstr>
      <vt:lpstr>24,1,4</vt:lpstr>
      <vt:lpstr>24,1,5</vt:lpstr>
      <vt:lpstr>24,1,6</vt:lpstr>
      <vt:lpstr>24,1,7</vt:lpstr>
      <vt:lpstr>24,1,8</vt:lpstr>
      <vt:lpstr>24,1,9</vt:lpstr>
      <vt:lpstr>24,1,10</vt:lpstr>
      <vt:lpstr>24,1,11</vt:lpstr>
      <vt:lpstr>ITEMS!Área_de_impresión</vt:lpstr>
      <vt:lpstr>ITEMS!Títulos_a_imprimir</vt:lpstr>
      <vt:lpstr>MATERIALES!Títulos_a_imprimir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EQUIPO3</dc:creator>
  <cp:lastModifiedBy>Windows</cp:lastModifiedBy>
  <cp:lastPrinted>2020-08-10T19:28:42Z</cp:lastPrinted>
  <dcterms:created xsi:type="dcterms:W3CDTF">2012-12-12T19:51:11Z</dcterms:created>
  <dcterms:modified xsi:type="dcterms:W3CDTF">2021-02-15T14:27:10Z</dcterms:modified>
</cp:coreProperties>
</file>